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2\MATRIC~1\"/>
    </mc:Choice>
  </mc:AlternateContent>
  <bookViews>
    <workbookView xWindow="0" yWindow="0" windowWidth="24000" windowHeight="10425"/>
  </bookViews>
  <sheets>
    <sheet name="Instrucciones" sheetId="4" r:id="rId1"/>
    <sheet name="Marco Legal y Normativo" sheetId="12" r:id="rId2"/>
    <sheet name="Solicitud de Adhesicón" sheetId="3" r:id="rId3"/>
    <sheet name="Tabla de puntuación" sheetId="13" r:id="rId4"/>
    <sheet name="Evaluacion" sheetId="1" r:id="rId5"/>
    <sheet name="Calificacion" sheetId="10" r:id="rId6"/>
    <sheet name="Segunda condicionante" sheetId="14" r:id="rId7"/>
    <sheet name="Referentes" sheetId="5" r:id="rId8"/>
    <sheet name="Comentarios" sheetId="11" r:id="rId9"/>
  </sheets>
  <externalReferences>
    <externalReference r:id="rId10"/>
  </externalReferences>
  <definedNames>
    <definedName name="_xlnm.Print_Area" localSheetId="5">Calificacion!$A$1:$B$7</definedName>
    <definedName name="_xlnm.Print_Area" localSheetId="8">Comentarios!$A$1:$B$3</definedName>
    <definedName name="_xlnm.Print_Area" localSheetId="4">Evaluacion!$A$1:$AE$143</definedName>
    <definedName name="_xlnm.Print_Area" localSheetId="0">Instrucciones!$A$1:$I$11</definedName>
    <definedName name="_xlnm.Print_Area" localSheetId="1">'Marco Legal y Normativo'!$A$1:$B$23</definedName>
    <definedName name="_xlnm.Print_Area" localSheetId="7">Referentes!$A$1:$B$23</definedName>
    <definedName name="_xlnm.Print_Area" localSheetId="2">'Solicitud de Adhesicón'!$A$1:$H$55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44" i="1" l="1"/>
  <c r="V142" i="1"/>
  <c r="U142" i="1"/>
  <c r="T142" i="1"/>
  <c r="S142" i="1"/>
  <c r="R142" i="1"/>
  <c r="V141" i="1"/>
  <c r="U141" i="1"/>
  <c r="T141" i="1"/>
  <c r="S141" i="1"/>
  <c r="R141" i="1"/>
  <c r="V140" i="1"/>
  <c r="U140" i="1"/>
  <c r="T140" i="1"/>
  <c r="S140" i="1"/>
  <c r="R140" i="1"/>
  <c r="V139" i="1"/>
  <c r="U139" i="1"/>
  <c r="T139" i="1"/>
  <c r="S139" i="1"/>
  <c r="R139" i="1"/>
  <c r="V138" i="1"/>
  <c r="U138" i="1"/>
  <c r="T138" i="1"/>
  <c r="S138" i="1"/>
  <c r="R138" i="1"/>
  <c r="V137" i="1"/>
  <c r="U137" i="1"/>
  <c r="T137" i="1"/>
  <c r="S137" i="1"/>
  <c r="R137" i="1"/>
  <c r="V136" i="1"/>
  <c r="U136" i="1"/>
  <c r="T136" i="1"/>
  <c r="S136" i="1"/>
  <c r="R136" i="1"/>
  <c r="V135" i="1"/>
  <c r="U135" i="1"/>
  <c r="T135" i="1"/>
  <c r="S135" i="1"/>
  <c r="R135" i="1"/>
  <c r="V134" i="1"/>
  <c r="U134" i="1"/>
  <c r="T134" i="1"/>
  <c r="S134" i="1"/>
  <c r="R134" i="1"/>
  <c r="V133" i="1"/>
  <c r="U133" i="1"/>
  <c r="T133" i="1"/>
  <c r="S133" i="1"/>
  <c r="R133" i="1"/>
  <c r="V132" i="1"/>
  <c r="U132" i="1"/>
  <c r="T132" i="1"/>
  <c r="S132" i="1"/>
  <c r="R132" i="1"/>
  <c r="V131" i="1"/>
  <c r="U131" i="1"/>
  <c r="T131" i="1"/>
  <c r="S131" i="1"/>
  <c r="R131" i="1"/>
  <c r="V130" i="1"/>
  <c r="U130" i="1"/>
  <c r="T130" i="1"/>
  <c r="S130" i="1"/>
  <c r="R130" i="1"/>
  <c r="V129" i="1"/>
  <c r="U129" i="1"/>
  <c r="T129" i="1"/>
  <c r="S129" i="1"/>
  <c r="R129" i="1"/>
  <c r="V128" i="1"/>
  <c r="U128" i="1"/>
  <c r="T128" i="1"/>
  <c r="S128" i="1"/>
  <c r="R128" i="1"/>
  <c r="V127" i="1"/>
  <c r="U127" i="1"/>
  <c r="T127" i="1"/>
  <c r="S127" i="1"/>
  <c r="R127" i="1"/>
  <c r="V126" i="1"/>
  <c r="U126" i="1"/>
  <c r="T126" i="1"/>
  <c r="S126" i="1"/>
  <c r="R126" i="1"/>
  <c r="V125" i="1"/>
  <c r="U125" i="1"/>
  <c r="T125" i="1"/>
  <c r="S125" i="1"/>
  <c r="R125" i="1"/>
  <c r="V124" i="1"/>
  <c r="U124" i="1"/>
  <c r="T124" i="1"/>
  <c r="S124" i="1"/>
  <c r="R124" i="1"/>
  <c r="V123" i="1"/>
  <c r="U123" i="1"/>
  <c r="T123" i="1"/>
  <c r="S123" i="1"/>
  <c r="R123" i="1"/>
  <c r="V122" i="1"/>
  <c r="U122" i="1"/>
  <c r="T122" i="1"/>
  <c r="S122" i="1"/>
  <c r="R122" i="1"/>
  <c r="V121" i="1"/>
  <c r="U121" i="1"/>
  <c r="T121" i="1"/>
  <c r="S121" i="1"/>
  <c r="R121" i="1"/>
  <c r="V120" i="1"/>
  <c r="U120" i="1"/>
  <c r="T120" i="1"/>
  <c r="S120" i="1"/>
  <c r="R120" i="1"/>
  <c r="V119" i="1"/>
  <c r="U119" i="1"/>
  <c r="T119" i="1"/>
  <c r="S119" i="1"/>
  <c r="R119" i="1"/>
  <c r="V118" i="1"/>
  <c r="U118" i="1"/>
  <c r="T118" i="1"/>
  <c r="S118" i="1"/>
  <c r="R118" i="1"/>
  <c r="V117" i="1"/>
  <c r="U117" i="1"/>
  <c r="T117" i="1"/>
  <c r="S117" i="1"/>
  <c r="R117" i="1"/>
  <c r="V116" i="1"/>
  <c r="U116" i="1"/>
  <c r="T116" i="1"/>
  <c r="S116" i="1"/>
  <c r="R116" i="1"/>
  <c r="V115" i="1"/>
  <c r="U115" i="1"/>
  <c r="T115" i="1"/>
  <c r="S115" i="1"/>
  <c r="R115" i="1"/>
  <c r="V114" i="1"/>
  <c r="U114" i="1"/>
  <c r="T114" i="1"/>
  <c r="S114" i="1"/>
  <c r="R114" i="1"/>
  <c r="V113" i="1"/>
  <c r="U113" i="1"/>
  <c r="T113" i="1"/>
  <c r="S113" i="1"/>
  <c r="R113" i="1"/>
  <c r="V112" i="1"/>
  <c r="U112" i="1"/>
  <c r="T112" i="1"/>
  <c r="S112" i="1"/>
  <c r="R112" i="1"/>
  <c r="V111" i="1"/>
  <c r="U111" i="1"/>
  <c r="T111" i="1"/>
  <c r="S111" i="1"/>
  <c r="R111" i="1"/>
  <c r="V110" i="1"/>
  <c r="U110" i="1"/>
  <c r="T110" i="1"/>
  <c r="S110" i="1"/>
  <c r="R110" i="1"/>
  <c r="V109" i="1"/>
  <c r="U109" i="1"/>
  <c r="T109" i="1"/>
  <c r="S109" i="1"/>
  <c r="R109" i="1"/>
  <c r="V108" i="1"/>
  <c r="U108" i="1"/>
  <c r="T108" i="1"/>
  <c r="S108" i="1"/>
  <c r="R108" i="1"/>
  <c r="V107" i="1"/>
  <c r="U107" i="1"/>
  <c r="T107" i="1"/>
  <c r="S107" i="1"/>
  <c r="R107" i="1"/>
  <c r="V106" i="1"/>
  <c r="U106" i="1"/>
  <c r="T106" i="1"/>
  <c r="S106" i="1"/>
  <c r="R106" i="1"/>
  <c r="V105" i="1"/>
  <c r="U105" i="1"/>
  <c r="T105" i="1"/>
  <c r="S105" i="1"/>
  <c r="R105" i="1"/>
  <c r="V104" i="1"/>
  <c r="U104" i="1"/>
  <c r="T104" i="1"/>
  <c r="S104" i="1"/>
  <c r="R104" i="1"/>
  <c r="V103" i="1"/>
  <c r="U103" i="1"/>
  <c r="T103" i="1"/>
  <c r="S103" i="1"/>
  <c r="R103" i="1"/>
  <c r="V102" i="1"/>
  <c r="U102" i="1"/>
  <c r="T102" i="1"/>
  <c r="S102" i="1"/>
  <c r="R102" i="1"/>
  <c r="V101" i="1"/>
  <c r="U101" i="1"/>
  <c r="T101" i="1"/>
  <c r="S101" i="1"/>
  <c r="R101" i="1"/>
  <c r="V100" i="1"/>
  <c r="U100" i="1"/>
  <c r="T100" i="1"/>
  <c r="S100" i="1"/>
  <c r="R100" i="1"/>
  <c r="V99" i="1"/>
  <c r="U99" i="1"/>
  <c r="T99" i="1"/>
  <c r="S99" i="1"/>
  <c r="R99" i="1"/>
  <c r="V98" i="1"/>
  <c r="U98" i="1"/>
  <c r="T98" i="1"/>
  <c r="S98" i="1"/>
  <c r="R98" i="1"/>
  <c r="V97" i="1"/>
  <c r="U97" i="1"/>
  <c r="T97" i="1"/>
  <c r="S97" i="1"/>
  <c r="R97" i="1"/>
  <c r="V96" i="1"/>
  <c r="U96" i="1"/>
  <c r="T96" i="1"/>
  <c r="S96" i="1"/>
  <c r="R96" i="1"/>
  <c r="V95" i="1"/>
  <c r="U95" i="1"/>
  <c r="T95" i="1"/>
  <c r="S95" i="1"/>
  <c r="R95" i="1"/>
  <c r="V94" i="1"/>
  <c r="U94" i="1"/>
  <c r="T94" i="1"/>
  <c r="S94" i="1"/>
  <c r="R94" i="1"/>
  <c r="V93" i="1"/>
  <c r="U93" i="1"/>
  <c r="T93" i="1"/>
  <c r="S93" i="1"/>
  <c r="R93" i="1"/>
  <c r="V92" i="1"/>
  <c r="U92" i="1"/>
  <c r="T92" i="1"/>
  <c r="S92" i="1"/>
  <c r="R92" i="1"/>
  <c r="V91" i="1"/>
  <c r="U91" i="1"/>
  <c r="T91" i="1"/>
  <c r="S91" i="1"/>
  <c r="R91" i="1"/>
  <c r="V90" i="1"/>
  <c r="U90" i="1"/>
  <c r="T90" i="1"/>
  <c r="S90" i="1"/>
  <c r="R90" i="1"/>
  <c r="V89" i="1"/>
  <c r="U89" i="1"/>
  <c r="T89" i="1"/>
  <c r="S89" i="1"/>
  <c r="R89" i="1"/>
  <c r="V88" i="1"/>
  <c r="U88" i="1"/>
  <c r="T88" i="1"/>
  <c r="S88" i="1"/>
  <c r="R88" i="1"/>
  <c r="V87" i="1"/>
  <c r="U87" i="1"/>
  <c r="T87" i="1"/>
  <c r="S87" i="1"/>
  <c r="R87" i="1"/>
  <c r="V86" i="1"/>
  <c r="U86" i="1"/>
  <c r="T86" i="1"/>
  <c r="S86" i="1"/>
  <c r="R86" i="1"/>
  <c r="V85" i="1"/>
  <c r="U85" i="1"/>
  <c r="T85" i="1"/>
  <c r="S85" i="1"/>
  <c r="R85" i="1"/>
  <c r="V84" i="1"/>
  <c r="U84" i="1"/>
  <c r="T84" i="1"/>
  <c r="S84" i="1"/>
  <c r="R84" i="1"/>
  <c r="V83" i="1"/>
  <c r="U83" i="1"/>
  <c r="T83" i="1"/>
  <c r="S83" i="1"/>
  <c r="R83" i="1"/>
  <c r="V82" i="1"/>
  <c r="U82" i="1"/>
  <c r="T82" i="1"/>
  <c r="S82" i="1"/>
  <c r="R82" i="1"/>
  <c r="V81" i="1"/>
  <c r="U81" i="1"/>
  <c r="T81" i="1"/>
  <c r="S81" i="1"/>
  <c r="R81" i="1"/>
  <c r="V80" i="1"/>
  <c r="U80" i="1"/>
  <c r="T80" i="1"/>
  <c r="S80" i="1"/>
  <c r="R80" i="1"/>
  <c r="V79" i="1"/>
  <c r="U79" i="1"/>
  <c r="T79" i="1"/>
  <c r="S79" i="1"/>
  <c r="R79" i="1"/>
  <c r="V78" i="1"/>
  <c r="U78" i="1"/>
  <c r="T78" i="1"/>
  <c r="S78" i="1"/>
  <c r="R78" i="1"/>
  <c r="V77" i="1"/>
  <c r="U77" i="1"/>
  <c r="T77" i="1"/>
  <c r="S77" i="1"/>
  <c r="R77" i="1"/>
  <c r="V76" i="1"/>
  <c r="U76" i="1"/>
  <c r="T76" i="1"/>
  <c r="S76" i="1"/>
  <c r="R76" i="1"/>
  <c r="V75" i="1"/>
  <c r="U75" i="1"/>
  <c r="T75" i="1"/>
  <c r="S75" i="1"/>
  <c r="R75" i="1"/>
  <c r="V74" i="1"/>
  <c r="U74" i="1"/>
  <c r="T74" i="1"/>
  <c r="S74" i="1"/>
  <c r="R74" i="1"/>
  <c r="V73" i="1"/>
  <c r="U73" i="1"/>
  <c r="T73" i="1"/>
  <c r="S73" i="1"/>
  <c r="R73" i="1"/>
  <c r="V72" i="1"/>
  <c r="U72" i="1"/>
  <c r="T72" i="1"/>
  <c r="S72" i="1"/>
  <c r="R72" i="1"/>
  <c r="V71" i="1"/>
  <c r="U71" i="1"/>
  <c r="T71" i="1"/>
  <c r="S71" i="1"/>
  <c r="R71" i="1"/>
  <c r="V70" i="1"/>
  <c r="U70" i="1"/>
  <c r="T70" i="1"/>
  <c r="S70" i="1"/>
  <c r="R70" i="1"/>
  <c r="V69" i="1"/>
  <c r="U69" i="1"/>
  <c r="T69" i="1"/>
  <c r="S69" i="1"/>
  <c r="R69" i="1"/>
  <c r="V68" i="1"/>
  <c r="U68" i="1"/>
  <c r="T68" i="1"/>
  <c r="S68" i="1"/>
  <c r="R68" i="1"/>
  <c r="V67" i="1"/>
  <c r="U67" i="1"/>
  <c r="T67" i="1"/>
  <c r="S67" i="1"/>
  <c r="R67" i="1"/>
  <c r="V66" i="1"/>
  <c r="U66" i="1"/>
  <c r="T66" i="1"/>
  <c r="S66" i="1"/>
  <c r="R66" i="1"/>
  <c r="V65" i="1"/>
  <c r="U65" i="1"/>
  <c r="T65" i="1"/>
  <c r="S65" i="1"/>
  <c r="R65" i="1"/>
  <c r="V64" i="1"/>
  <c r="U64" i="1"/>
  <c r="T64" i="1"/>
  <c r="S64" i="1"/>
  <c r="R64" i="1"/>
  <c r="V63" i="1"/>
  <c r="U63" i="1"/>
  <c r="T63" i="1"/>
  <c r="S63" i="1"/>
  <c r="R63" i="1"/>
  <c r="V62" i="1"/>
  <c r="U62" i="1"/>
  <c r="T62" i="1"/>
  <c r="S62" i="1"/>
  <c r="R62" i="1"/>
  <c r="V61" i="1"/>
  <c r="U61" i="1"/>
  <c r="T61" i="1"/>
  <c r="S61" i="1"/>
  <c r="R61" i="1"/>
  <c r="V60" i="1"/>
  <c r="U60" i="1"/>
  <c r="T60" i="1"/>
  <c r="S60" i="1"/>
  <c r="R60" i="1"/>
  <c r="V59" i="1"/>
  <c r="U59" i="1"/>
  <c r="T59" i="1"/>
  <c r="S59" i="1"/>
  <c r="R59" i="1"/>
  <c r="V57" i="1"/>
  <c r="U57" i="1"/>
  <c r="T57" i="1"/>
  <c r="S57" i="1"/>
  <c r="R57" i="1"/>
  <c r="V56" i="1"/>
  <c r="U56" i="1"/>
  <c r="T56" i="1"/>
  <c r="S56" i="1"/>
  <c r="R56" i="1"/>
  <c r="V55" i="1"/>
  <c r="U55" i="1"/>
  <c r="T55" i="1"/>
  <c r="S55" i="1"/>
  <c r="R55" i="1"/>
  <c r="V54" i="1"/>
  <c r="U54" i="1"/>
  <c r="T54" i="1"/>
  <c r="S54" i="1"/>
  <c r="R54" i="1"/>
  <c r="V53" i="1"/>
  <c r="U53" i="1"/>
  <c r="T53" i="1"/>
  <c r="S53" i="1"/>
  <c r="R53" i="1"/>
  <c r="V52" i="1"/>
  <c r="U52" i="1"/>
  <c r="T52" i="1"/>
  <c r="S52" i="1"/>
  <c r="R52" i="1"/>
  <c r="V51" i="1"/>
  <c r="U51" i="1"/>
  <c r="T51" i="1"/>
  <c r="S51" i="1"/>
  <c r="R51" i="1"/>
  <c r="V50" i="1"/>
  <c r="U50" i="1"/>
  <c r="T50" i="1"/>
  <c r="S50" i="1"/>
  <c r="R50" i="1"/>
  <c r="V49" i="1"/>
  <c r="U49" i="1"/>
  <c r="T49" i="1"/>
  <c r="S49" i="1"/>
  <c r="R49" i="1"/>
  <c r="V48" i="1"/>
  <c r="U48" i="1"/>
  <c r="T48" i="1"/>
  <c r="S48" i="1"/>
  <c r="R48" i="1"/>
  <c r="V47" i="1"/>
  <c r="U47" i="1"/>
  <c r="T47" i="1"/>
  <c r="S47" i="1"/>
  <c r="R47" i="1"/>
  <c r="V46" i="1"/>
  <c r="U46" i="1"/>
  <c r="T46" i="1"/>
  <c r="S46" i="1"/>
  <c r="R46" i="1"/>
  <c r="V45" i="1"/>
  <c r="U45" i="1"/>
  <c r="T45" i="1"/>
  <c r="S45" i="1"/>
  <c r="R45" i="1"/>
  <c r="V44" i="1"/>
  <c r="U44" i="1"/>
  <c r="T44" i="1"/>
  <c r="S44" i="1"/>
  <c r="R44" i="1"/>
  <c r="V43" i="1"/>
  <c r="U43" i="1"/>
  <c r="T43" i="1"/>
  <c r="S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V32" i="1"/>
  <c r="U32" i="1"/>
  <c r="T32" i="1"/>
  <c r="S32" i="1"/>
  <c r="R32" i="1"/>
  <c r="V31" i="1"/>
  <c r="U31" i="1"/>
  <c r="T31" i="1"/>
  <c r="S31" i="1"/>
  <c r="R31" i="1"/>
  <c r="V30" i="1"/>
  <c r="U30" i="1"/>
  <c r="T30" i="1"/>
  <c r="S30" i="1"/>
  <c r="R30" i="1"/>
  <c r="V29" i="1"/>
  <c r="U29" i="1"/>
  <c r="T29" i="1"/>
  <c r="S29" i="1"/>
  <c r="R29" i="1"/>
  <c r="V28" i="1"/>
  <c r="U28" i="1"/>
  <c r="T28" i="1"/>
  <c r="S28" i="1"/>
  <c r="R28" i="1"/>
  <c r="V27" i="1"/>
  <c r="U27" i="1"/>
  <c r="T27" i="1"/>
  <c r="S27" i="1"/>
  <c r="R27" i="1"/>
  <c r="V26" i="1"/>
  <c r="U26" i="1"/>
  <c r="T26" i="1"/>
  <c r="S26" i="1"/>
  <c r="R26" i="1"/>
  <c r="V25" i="1"/>
  <c r="U25" i="1"/>
  <c r="T25" i="1"/>
  <c r="S25" i="1"/>
  <c r="R25" i="1"/>
  <c r="V24" i="1"/>
  <c r="U24" i="1"/>
  <c r="T24" i="1"/>
  <c r="S24" i="1"/>
  <c r="R24" i="1"/>
  <c r="V23" i="1"/>
  <c r="U23" i="1"/>
  <c r="T23" i="1"/>
  <c r="S23" i="1"/>
  <c r="R23" i="1"/>
  <c r="V22" i="1"/>
  <c r="U22" i="1"/>
  <c r="T22" i="1"/>
  <c r="S22" i="1"/>
  <c r="R22" i="1"/>
  <c r="V21" i="1"/>
  <c r="U21" i="1"/>
  <c r="T21" i="1"/>
  <c r="S21" i="1"/>
  <c r="R21" i="1"/>
  <c r="V20" i="1"/>
  <c r="U20" i="1"/>
  <c r="T20" i="1"/>
  <c r="S20" i="1"/>
  <c r="R20" i="1"/>
  <c r="V19" i="1"/>
  <c r="U19" i="1"/>
  <c r="T19" i="1"/>
  <c r="S19" i="1"/>
  <c r="R19" i="1"/>
  <c r="V18" i="1"/>
  <c r="U18" i="1"/>
  <c r="T18" i="1"/>
  <c r="S18" i="1"/>
  <c r="R18" i="1"/>
  <c r="V17" i="1"/>
  <c r="U17" i="1"/>
  <c r="T17" i="1"/>
  <c r="S17" i="1"/>
  <c r="R17" i="1"/>
  <c r="V16" i="1"/>
  <c r="U16" i="1"/>
  <c r="T16" i="1"/>
  <c r="S16" i="1"/>
  <c r="R16" i="1"/>
  <c r="V15" i="1"/>
  <c r="U15" i="1"/>
  <c r="T15" i="1"/>
  <c r="S15" i="1"/>
  <c r="R15" i="1"/>
  <c r="V14" i="1"/>
  <c r="U14" i="1"/>
  <c r="T14" i="1"/>
  <c r="S14" i="1"/>
  <c r="R14" i="1"/>
  <c r="V13" i="1"/>
  <c r="U13" i="1"/>
  <c r="T13" i="1"/>
  <c r="S13" i="1"/>
  <c r="R13" i="1"/>
  <c r="V12" i="1"/>
  <c r="U12" i="1"/>
  <c r="T12" i="1"/>
  <c r="S12" i="1"/>
  <c r="R12" i="1"/>
  <c r="V11" i="1"/>
  <c r="U11" i="1"/>
  <c r="T11" i="1"/>
  <c r="S11" i="1"/>
  <c r="R11" i="1"/>
  <c r="V10" i="1"/>
  <c r="U10" i="1"/>
  <c r="T10" i="1"/>
  <c r="S10" i="1"/>
  <c r="R10" i="1"/>
  <c r="V9" i="1"/>
  <c r="U9" i="1"/>
  <c r="T9" i="1"/>
  <c r="S9" i="1"/>
  <c r="R9" i="1"/>
  <c r="V8" i="1"/>
  <c r="U8" i="1"/>
  <c r="T8" i="1"/>
  <c r="S8" i="1"/>
  <c r="R8" i="1"/>
  <c r="V7" i="1"/>
  <c r="U7" i="1"/>
  <c r="T7" i="1"/>
  <c r="S7" i="1"/>
  <c r="R7" i="1"/>
  <c r="V6" i="1"/>
  <c r="U6" i="1"/>
  <c r="T6" i="1"/>
  <c r="S6" i="1"/>
  <c r="R6" i="1"/>
  <c r="V5" i="1"/>
  <c r="U5" i="1"/>
  <c r="T5" i="1"/>
  <c r="S5" i="1"/>
  <c r="R5" i="1"/>
  <c r="A6" i="14" l="1"/>
  <c r="D17" i="13"/>
  <c r="C17" i="13"/>
  <c r="C24" i="12" l="1"/>
  <c r="AC108" i="1"/>
  <c r="AC109" i="1"/>
  <c r="AC110" i="1"/>
  <c r="AC111" i="1"/>
  <c r="AC112" i="1"/>
  <c r="AC113" i="1"/>
  <c r="AC114" i="1"/>
  <c r="AC115" i="1"/>
  <c r="AC116" i="1"/>
  <c r="AC117" i="1"/>
  <c r="AC118" i="1"/>
  <c r="AC119" i="1"/>
  <c r="AC120" i="1"/>
  <c r="AC121" i="1"/>
  <c r="AC122" i="1"/>
  <c r="AC123" i="1"/>
  <c r="AC124" i="1"/>
  <c r="AC125" i="1"/>
  <c r="AC126" i="1"/>
  <c r="AC127" i="1"/>
  <c r="AC128" i="1"/>
  <c r="AC129" i="1"/>
  <c r="AD129" i="1"/>
  <c r="AC130" i="1"/>
  <c r="AC131" i="1"/>
  <c r="AC132" i="1"/>
  <c r="AD132" i="1"/>
  <c r="AC133" i="1"/>
  <c r="AC134" i="1"/>
  <c r="AC135" i="1"/>
  <c r="AD135" i="1"/>
  <c r="AC136" i="1"/>
  <c r="AC137" i="1"/>
  <c r="AC138" i="1"/>
  <c r="AC139" i="1"/>
  <c r="AC140" i="1"/>
  <c r="AC141" i="1"/>
  <c r="AC142" i="1"/>
  <c r="AC107" i="1"/>
  <c r="AC106" i="1"/>
  <c r="AC92" i="1"/>
  <c r="AC93" i="1"/>
  <c r="AC94" i="1"/>
  <c r="AC95" i="1"/>
  <c r="AC96" i="1"/>
  <c r="AC97" i="1"/>
  <c r="AC98" i="1"/>
  <c r="AC99" i="1"/>
  <c r="AC100" i="1"/>
  <c r="AC101" i="1"/>
  <c r="AC102" i="1"/>
  <c r="AC103" i="1"/>
  <c r="AC104" i="1"/>
  <c r="AC105" i="1"/>
  <c r="AC74" i="1"/>
  <c r="AC75" i="1"/>
  <c r="AC76" i="1"/>
  <c r="AC77" i="1"/>
  <c r="AC78" i="1"/>
  <c r="AD78" i="1" s="1"/>
  <c r="AC79" i="1"/>
  <c r="AC80" i="1"/>
  <c r="AC81" i="1"/>
  <c r="AC82" i="1"/>
  <c r="AC83" i="1"/>
  <c r="AC84" i="1"/>
  <c r="AC85" i="1"/>
  <c r="AC86" i="1"/>
  <c r="AD86" i="1" s="1"/>
  <c r="AC87" i="1"/>
  <c r="AC88" i="1"/>
  <c r="AC89" i="1"/>
  <c r="AC90" i="1"/>
  <c r="AC91" i="1"/>
  <c r="AC66" i="1"/>
  <c r="AC67" i="1"/>
  <c r="AD67" i="1"/>
  <c r="AC68" i="1"/>
  <c r="AC69" i="1"/>
  <c r="AC70" i="1"/>
  <c r="AC71" i="1"/>
  <c r="AC72" i="1"/>
  <c r="AC73" i="1"/>
  <c r="AC65" i="1"/>
  <c r="AC56" i="1"/>
  <c r="AD56" i="1" s="1"/>
  <c r="AC57" i="1"/>
  <c r="AC58" i="1"/>
  <c r="AD58" i="1"/>
  <c r="AC59" i="1"/>
  <c r="AC60" i="1"/>
  <c r="AC61" i="1"/>
  <c r="AC62" i="1"/>
  <c r="AC63" i="1"/>
  <c r="AC64" i="1"/>
  <c r="AC42" i="1"/>
  <c r="AC43" i="1"/>
  <c r="AC44" i="1"/>
  <c r="AC45" i="1"/>
  <c r="AC46" i="1"/>
  <c r="AC47" i="1"/>
  <c r="AC48" i="1"/>
  <c r="AC49" i="1"/>
  <c r="AD49" i="1" s="1"/>
  <c r="AC50" i="1"/>
  <c r="AC51" i="1"/>
  <c r="AC52" i="1"/>
  <c r="AC53" i="1"/>
  <c r="AC54" i="1"/>
  <c r="AC55" i="1"/>
  <c r="AC5" i="1"/>
  <c r="AC6" i="1"/>
  <c r="AC7" i="1"/>
  <c r="AC8" i="1"/>
  <c r="AC9" i="1"/>
  <c r="AC10" i="1"/>
  <c r="AC11" i="1"/>
  <c r="AC12" i="1"/>
  <c r="AC13" i="1"/>
  <c r="AC14" i="1"/>
  <c r="AD14" i="1" s="1"/>
  <c r="AC15" i="1"/>
  <c r="AC16" i="1"/>
  <c r="AC17" i="1"/>
  <c r="AC18" i="1"/>
  <c r="AC19" i="1"/>
  <c r="AC20" i="1"/>
  <c r="AC21" i="1"/>
  <c r="AC22" i="1"/>
  <c r="AD22" i="1" s="1"/>
  <c r="AC23" i="1"/>
  <c r="AC24" i="1"/>
  <c r="AC25" i="1"/>
  <c r="AC26" i="1"/>
  <c r="AC27" i="1"/>
  <c r="AC28" i="1"/>
  <c r="AC29" i="1"/>
  <c r="AC30" i="1"/>
  <c r="AD30" i="1" s="1"/>
  <c r="AC31" i="1"/>
  <c r="AC32" i="1"/>
  <c r="AC33" i="1"/>
  <c r="AC34" i="1"/>
  <c r="AC35" i="1"/>
  <c r="AC36" i="1"/>
  <c r="AC37" i="1"/>
  <c r="AC38" i="1"/>
  <c r="AD38" i="1" s="1"/>
  <c r="AC39" i="1"/>
  <c r="AC40" i="1"/>
  <c r="AC41" i="1"/>
  <c r="X5" i="1"/>
  <c r="Y5" i="1"/>
  <c r="Z5" i="1"/>
  <c r="AA5" i="1"/>
  <c r="AB5" i="1"/>
  <c r="X6" i="1"/>
  <c r="Y6" i="1"/>
  <c r="Z6" i="1"/>
  <c r="AA6" i="1"/>
  <c r="AB6" i="1"/>
  <c r="X7" i="1"/>
  <c r="Y7" i="1"/>
  <c r="Z7" i="1"/>
  <c r="AA7" i="1"/>
  <c r="AB7" i="1"/>
  <c r="X8" i="1"/>
  <c r="Y8" i="1"/>
  <c r="Z8" i="1"/>
  <c r="AA8" i="1"/>
  <c r="AB8" i="1"/>
  <c r="X9" i="1"/>
  <c r="Y9" i="1"/>
  <c r="Z9" i="1"/>
  <c r="AA9" i="1"/>
  <c r="AB9" i="1"/>
  <c r="X10" i="1"/>
  <c r="Y10" i="1"/>
  <c r="Z10" i="1"/>
  <c r="AA10" i="1"/>
  <c r="AB10" i="1"/>
  <c r="X11" i="1"/>
  <c r="Y11" i="1"/>
  <c r="Z11" i="1"/>
  <c r="AA11" i="1"/>
  <c r="AB11" i="1"/>
  <c r="X12" i="1"/>
  <c r="Y12" i="1"/>
  <c r="Z12" i="1"/>
  <c r="AA12" i="1"/>
  <c r="AB12" i="1"/>
  <c r="X13" i="1"/>
  <c r="Y13" i="1"/>
  <c r="Z13" i="1"/>
  <c r="AA13" i="1"/>
  <c r="AB13" i="1"/>
  <c r="X14" i="1"/>
  <c r="Y14" i="1"/>
  <c r="Z14" i="1"/>
  <c r="AA14" i="1"/>
  <c r="AB14" i="1"/>
  <c r="X15" i="1"/>
  <c r="Y15" i="1"/>
  <c r="Z15" i="1"/>
  <c r="AA15" i="1"/>
  <c r="AB15" i="1"/>
  <c r="X16" i="1"/>
  <c r="Y16" i="1"/>
  <c r="Z16" i="1"/>
  <c r="AA16" i="1"/>
  <c r="AB16" i="1"/>
  <c r="X17" i="1"/>
  <c r="Y17" i="1"/>
  <c r="Z17" i="1"/>
  <c r="AA17" i="1"/>
  <c r="AB17" i="1"/>
  <c r="X18" i="1"/>
  <c r="Y18" i="1"/>
  <c r="Z18" i="1"/>
  <c r="AA18" i="1"/>
  <c r="AB18" i="1"/>
  <c r="X19" i="1"/>
  <c r="Y19" i="1"/>
  <c r="Z19" i="1"/>
  <c r="AA19" i="1"/>
  <c r="AB19" i="1"/>
  <c r="X20" i="1"/>
  <c r="Y20" i="1"/>
  <c r="Z20" i="1"/>
  <c r="AA20" i="1"/>
  <c r="AB20" i="1"/>
  <c r="X21" i="1"/>
  <c r="Y21" i="1"/>
  <c r="Z21" i="1"/>
  <c r="AA21" i="1"/>
  <c r="AB21" i="1"/>
  <c r="X22" i="1"/>
  <c r="Y22" i="1"/>
  <c r="Z22" i="1"/>
  <c r="AA22" i="1"/>
  <c r="AB22" i="1"/>
  <c r="X23" i="1"/>
  <c r="Y23" i="1"/>
  <c r="Z23" i="1"/>
  <c r="AA23" i="1"/>
  <c r="AB23" i="1"/>
  <c r="X24" i="1"/>
  <c r="Y24" i="1"/>
  <c r="Z24" i="1"/>
  <c r="AA24" i="1"/>
  <c r="AB24" i="1"/>
  <c r="X25" i="1"/>
  <c r="Y25" i="1"/>
  <c r="Z25" i="1"/>
  <c r="AA25" i="1"/>
  <c r="AB25" i="1"/>
  <c r="X26" i="1"/>
  <c r="Y26" i="1"/>
  <c r="Z26" i="1"/>
  <c r="AA26" i="1"/>
  <c r="AB26" i="1"/>
  <c r="X27" i="1"/>
  <c r="Y27" i="1"/>
  <c r="Z27" i="1"/>
  <c r="AA27" i="1"/>
  <c r="AB27" i="1"/>
  <c r="X28" i="1"/>
  <c r="Y28" i="1"/>
  <c r="Z28" i="1"/>
  <c r="AA28" i="1"/>
  <c r="AB28" i="1"/>
  <c r="X29" i="1"/>
  <c r="Y29" i="1"/>
  <c r="Z29" i="1"/>
  <c r="AA29" i="1"/>
  <c r="AB29" i="1"/>
  <c r="X30" i="1"/>
  <c r="Y30" i="1"/>
  <c r="Z30" i="1"/>
  <c r="AA30" i="1"/>
  <c r="AB30" i="1"/>
  <c r="X31" i="1"/>
  <c r="Y31" i="1"/>
  <c r="Z31" i="1"/>
  <c r="AA31" i="1"/>
  <c r="AB31" i="1"/>
  <c r="X32" i="1"/>
  <c r="Y32" i="1"/>
  <c r="Z32" i="1"/>
  <c r="AA32" i="1"/>
  <c r="AB32" i="1"/>
  <c r="X33" i="1"/>
  <c r="Y33" i="1"/>
  <c r="Z33" i="1"/>
  <c r="AA33" i="1"/>
  <c r="AB33" i="1"/>
  <c r="X34" i="1"/>
  <c r="Y34" i="1"/>
  <c r="Z34" i="1"/>
  <c r="AA34" i="1"/>
  <c r="AB34" i="1"/>
  <c r="X35" i="1"/>
  <c r="Y35" i="1"/>
  <c r="Z35" i="1"/>
  <c r="AA35" i="1"/>
  <c r="AB35" i="1"/>
  <c r="X36" i="1"/>
  <c r="Y36" i="1"/>
  <c r="Z36" i="1"/>
  <c r="AA36" i="1"/>
  <c r="AB36" i="1"/>
  <c r="X37" i="1"/>
  <c r="Y37" i="1"/>
  <c r="Z37" i="1"/>
  <c r="AA37" i="1"/>
  <c r="AB37" i="1"/>
  <c r="X38" i="1"/>
  <c r="Y38" i="1"/>
  <c r="Z38" i="1"/>
  <c r="AA38" i="1"/>
  <c r="AB38" i="1"/>
  <c r="X39" i="1"/>
  <c r="Y39" i="1"/>
  <c r="Z39" i="1"/>
  <c r="AA39" i="1"/>
  <c r="AB39" i="1"/>
  <c r="X40" i="1"/>
  <c r="Y40" i="1"/>
  <c r="Z40" i="1"/>
  <c r="AA40" i="1"/>
  <c r="AB40" i="1"/>
  <c r="X41" i="1"/>
  <c r="Y41" i="1"/>
  <c r="Z41" i="1"/>
  <c r="AA41" i="1"/>
  <c r="AB41" i="1"/>
  <c r="X42" i="1"/>
  <c r="Y42" i="1"/>
  <c r="Z42" i="1"/>
  <c r="AA42" i="1"/>
  <c r="AB42" i="1"/>
  <c r="X43" i="1"/>
  <c r="Y43" i="1"/>
  <c r="Z43" i="1"/>
  <c r="AA43" i="1"/>
  <c r="AB43" i="1"/>
  <c r="X44" i="1"/>
  <c r="Y44" i="1"/>
  <c r="Z44" i="1"/>
  <c r="AA44" i="1"/>
  <c r="AB44" i="1"/>
  <c r="X45" i="1"/>
  <c r="Y45" i="1"/>
  <c r="Z45" i="1"/>
  <c r="AA45" i="1"/>
  <c r="AB45" i="1"/>
  <c r="X46" i="1"/>
  <c r="Y46" i="1"/>
  <c r="Z46" i="1"/>
  <c r="AA46" i="1"/>
  <c r="AB46" i="1"/>
  <c r="X47" i="1"/>
  <c r="Y47" i="1"/>
  <c r="Z47" i="1"/>
  <c r="AA47" i="1"/>
  <c r="AB47" i="1"/>
  <c r="X48" i="1"/>
  <c r="Y48" i="1"/>
  <c r="Z48" i="1"/>
  <c r="AA48" i="1"/>
  <c r="AB48" i="1"/>
  <c r="X49" i="1"/>
  <c r="Y49" i="1"/>
  <c r="Z49" i="1"/>
  <c r="AA49" i="1"/>
  <c r="AB49" i="1"/>
  <c r="X50" i="1"/>
  <c r="Y50" i="1"/>
  <c r="Z50" i="1"/>
  <c r="AA50" i="1"/>
  <c r="AB50" i="1"/>
  <c r="X51" i="1"/>
  <c r="Y51" i="1"/>
  <c r="Z51" i="1"/>
  <c r="AA51" i="1"/>
  <c r="AB51" i="1"/>
  <c r="X52" i="1"/>
  <c r="Y52" i="1"/>
  <c r="Z52" i="1"/>
  <c r="AA52" i="1"/>
  <c r="AB52" i="1"/>
  <c r="X53" i="1"/>
  <c r="Y53" i="1"/>
  <c r="Z53" i="1"/>
  <c r="AA53" i="1"/>
  <c r="AB53" i="1"/>
  <c r="X54" i="1"/>
  <c r="Y54" i="1"/>
  <c r="Z54" i="1"/>
  <c r="AA54" i="1"/>
  <c r="AB54" i="1"/>
  <c r="X55" i="1"/>
  <c r="Y55" i="1"/>
  <c r="Z55" i="1"/>
  <c r="AA55" i="1"/>
  <c r="AB55" i="1"/>
  <c r="X56" i="1"/>
  <c r="Y56" i="1"/>
  <c r="Z56" i="1"/>
  <c r="AA56" i="1"/>
  <c r="AB56" i="1"/>
  <c r="X57" i="1"/>
  <c r="Y57" i="1"/>
  <c r="Z57" i="1"/>
  <c r="AA57" i="1"/>
  <c r="AB57" i="1"/>
  <c r="X58" i="1"/>
  <c r="Y58" i="1"/>
  <c r="Z58" i="1"/>
  <c r="AA58" i="1"/>
  <c r="AB58" i="1"/>
  <c r="X59" i="1"/>
  <c r="Y59" i="1"/>
  <c r="AD59" i="1" s="1"/>
  <c r="Z59" i="1"/>
  <c r="AA59" i="1"/>
  <c r="AB59" i="1"/>
  <c r="X60" i="1"/>
  <c r="Y60" i="1"/>
  <c r="AD60" i="1" s="1"/>
  <c r="Z60" i="1"/>
  <c r="AA60" i="1"/>
  <c r="AB60" i="1"/>
  <c r="X61" i="1"/>
  <c r="Y61" i="1"/>
  <c r="AD61" i="1" s="1"/>
  <c r="Z61" i="1"/>
  <c r="AA61" i="1"/>
  <c r="AB61" i="1"/>
  <c r="X62" i="1"/>
  <c r="Y62" i="1"/>
  <c r="AD62" i="1" s="1"/>
  <c r="Z62" i="1"/>
  <c r="AA62" i="1"/>
  <c r="AB62" i="1"/>
  <c r="X63" i="1"/>
  <c r="Y63" i="1"/>
  <c r="AD63" i="1" s="1"/>
  <c r="Z63" i="1"/>
  <c r="AA63" i="1"/>
  <c r="AB63" i="1"/>
  <c r="X64" i="1"/>
  <c r="Y64" i="1"/>
  <c r="AD64" i="1" s="1"/>
  <c r="Z64" i="1"/>
  <c r="AA64" i="1"/>
  <c r="AB64" i="1"/>
  <c r="X65" i="1"/>
  <c r="Y65" i="1"/>
  <c r="Z65" i="1"/>
  <c r="AA65" i="1"/>
  <c r="AB65" i="1"/>
  <c r="X66" i="1"/>
  <c r="Y66" i="1"/>
  <c r="Z66" i="1"/>
  <c r="AA66" i="1"/>
  <c r="AB66" i="1"/>
  <c r="X67" i="1"/>
  <c r="Y67" i="1"/>
  <c r="Z67" i="1"/>
  <c r="AA67" i="1"/>
  <c r="AB67" i="1"/>
  <c r="X68" i="1"/>
  <c r="Y68" i="1"/>
  <c r="Z68" i="1"/>
  <c r="AD68" i="1" s="1"/>
  <c r="AA68" i="1"/>
  <c r="AB68" i="1"/>
  <c r="X69" i="1"/>
  <c r="Y69" i="1"/>
  <c r="AD69" i="1" s="1"/>
  <c r="Z69" i="1"/>
  <c r="AA69" i="1"/>
  <c r="AB69" i="1"/>
  <c r="X70" i="1"/>
  <c r="Y70" i="1"/>
  <c r="AD70" i="1" s="1"/>
  <c r="Z70" i="1"/>
  <c r="AA70" i="1"/>
  <c r="AB70" i="1"/>
  <c r="X71" i="1"/>
  <c r="Y71" i="1"/>
  <c r="Z71" i="1"/>
  <c r="AA71" i="1"/>
  <c r="AD71" i="1" s="1"/>
  <c r="AB71" i="1"/>
  <c r="X72" i="1"/>
  <c r="Y72" i="1"/>
  <c r="Z72" i="1"/>
  <c r="AA72" i="1"/>
  <c r="AD72" i="1" s="1"/>
  <c r="AB72" i="1"/>
  <c r="X73" i="1"/>
  <c r="Y73" i="1"/>
  <c r="AD73" i="1" s="1"/>
  <c r="Z73" i="1"/>
  <c r="AA73" i="1"/>
  <c r="AB73" i="1"/>
  <c r="X74" i="1"/>
  <c r="Y74" i="1"/>
  <c r="Z74" i="1"/>
  <c r="AA74" i="1"/>
  <c r="AB74" i="1"/>
  <c r="X75" i="1"/>
  <c r="Y75" i="1"/>
  <c r="Z75" i="1"/>
  <c r="AA75" i="1"/>
  <c r="AB75" i="1"/>
  <c r="X76" i="1"/>
  <c r="Y76" i="1"/>
  <c r="Z76" i="1"/>
  <c r="AA76" i="1"/>
  <c r="AB76" i="1"/>
  <c r="X77" i="1"/>
  <c r="Y77" i="1"/>
  <c r="Z77" i="1"/>
  <c r="AA77" i="1"/>
  <c r="AB77" i="1"/>
  <c r="X78" i="1"/>
  <c r="Y78" i="1"/>
  <c r="Z78" i="1"/>
  <c r="AA78" i="1"/>
  <c r="AB78" i="1"/>
  <c r="X79" i="1"/>
  <c r="Y79" i="1"/>
  <c r="Z79" i="1"/>
  <c r="AA79" i="1"/>
  <c r="AB79" i="1"/>
  <c r="X80" i="1"/>
  <c r="Y80" i="1"/>
  <c r="Z80" i="1"/>
  <c r="AA80" i="1"/>
  <c r="AB80" i="1"/>
  <c r="X81" i="1"/>
  <c r="Y81" i="1"/>
  <c r="Z81" i="1"/>
  <c r="AA81" i="1"/>
  <c r="AB81" i="1"/>
  <c r="X82" i="1"/>
  <c r="Y82" i="1"/>
  <c r="Z82" i="1"/>
  <c r="AA82" i="1"/>
  <c r="AB82" i="1"/>
  <c r="X83" i="1"/>
  <c r="Y83" i="1"/>
  <c r="Z83" i="1"/>
  <c r="AA83" i="1"/>
  <c r="AB83" i="1"/>
  <c r="X84" i="1"/>
  <c r="Y84" i="1"/>
  <c r="Z84" i="1"/>
  <c r="AA84" i="1"/>
  <c r="AB84" i="1"/>
  <c r="X85" i="1"/>
  <c r="Y85" i="1"/>
  <c r="Z85" i="1"/>
  <c r="AA85" i="1"/>
  <c r="AB85" i="1"/>
  <c r="X86" i="1"/>
  <c r="Y86" i="1"/>
  <c r="Z86" i="1"/>
  <c r="AA86" i="1"/>
  <c r="AB86" i="1"/>
  <c r="X87" i="1"/>
  <c r="Y87" i="1"/>
  <c r="Z87" i="1"/>
  <c r="AA87" i="1"/>
  <c r="AB87" i="1"/>
  <c r="X88" i="1"/>
  <c r="Y88" i="1"/>
  <c r="Z88" i="1"/>
  <c r="AA88" i="1"/>
  <c r="AB88" i="1"/>
  <c r="X89" i="1"/>
  <c r="Y89" i="1"/>
  <c r="Z89" i="1"/>
  <c r="AA89" i="1"/>
  <c r="AB89" i="1"/>
  <c r="X90" i="1"/>
  <c r="Y90" i="1"/>
  <c r="Z90" i="1"/>
  <c r="AA90" i="1"/>
  <c r="AB90" i="1"/>
  <c r="X91" i="1"/>
  <c r="Y91" i="1"/>
  <c r="Z91" i="1"/>
  <c r="AA91" i="1"/>
  <c r="AB91" i="1"/>
  <c r="X92" i="1"/>
  <c r="Y92" i="1"/>
  <c r="AD92" i="1" s="1"/>
  <c r="Z92" i="1"/>
  <c r="AA92" i="1"/>
  <c r="AB92" i="1"/>
  <c r="X93" i="1"/>
  <c r="Y93" i="1"/>
  <c r="AD93" i="1" s="1"/>
  <c r="Z93" i="1"/>
  <c r="AA93" i="1"/>
  <c r="AB93" i="1"/>
  <c r="X94" i="1"/>
  <c r="Y94" i="1"/>
  <c r="AD94" i="1" s="1"/>
  <c r="Z94" i="1"/>
  <c r="AA94" i="1"/>
  <c r="AB94" i="1"/>
  <c r="X95" i="1"/>
  <c r="Y95" i="1"/>
  <c r="AD95" i="1" s="1"/>
  <c r="Z95" i="1"/>
  <c r="AA95" i="1"/>
  <c r="AB95" i="1"/>
  <c r="X96" i="1"/>
  <c r="Y96" i="1"/>
  <c r="AD96" i="1" s="1"/>
  <c r="Z96" i="1"/>
  <c r="AA96" i="1"/>
  <c r="AB96" i="1"/>
  <c r="X97" i="1"/>
  <c r="Y97" i="1"/>
  <c r="AD97" i="1" s="1"/>
  <c r="Z97" i="1"/>
  <c r="AA97" i="1"/>
  <c r="AB97" i="1"/>
  <c r="X98" i="1"/>
  <c r="Y98" i="1"/>
  <c r="AD98" i="1" s="1"/>
  <c r="Z98" i="1"/>
  <c r="AA98" i="1"/>
  <c r="AB98" i="1"/>
  <c r="X99" i="1"/>
  <c r="Y99" i="1"/>
  <c r="AD99" i="1" s="1"/>
  <c r="Z99" i="1"/>
  <c r="AA99" i="1"/>
  <c r="AB99" i="1"/>
  <c r="X100" i="1"/>
  <c r="Y100" i="1"/>
  <c r="AD100" i="1" s="1"/>
  <c r="Z100" i="1"/>
  <c r="AA100" i="1"/>
  <c r="AB100" i="1"/>
  <c r="X101" i="1"/>
  <c r="Y101" i="1"/>
  <c r="AD101" i="1" s="1"/>
  <c r="Z101" i="1"/>
  <c r="AA101" i="1"/>
  <c r="AB101" i="1"/>
  <c r="X102" i="1"/>
  <c r="Y102" i="1"/>
  <c r="AD102" i="1" s="1"/>
  <c r="Z102" i="1"/>
  <c r="AA102" i="1"/>
  <c r="AB102" i="1"/>
  <c r="X103" i="1"/>
  <c r="Y103" i="1"/>
  <c r="AD103" i="1" s="1"/>
  <c r="Z103" i="1"/>
  <c r="AA103" i="1"/>
  <c r="AB103" i="1"/>
  <c r="X104" i="1"/>
  <c r="Y104" i="1"/>
  <c r="Z104" i="1"/>
  <c r="AA104" i="1"/>
  <c r="AB104" i="1"/>
  <c r="X105" i="1"/>
  <c r="Y105" i="1"/>
  <c r="AD105" i="1" s="1"/>
  <c r="Z105" i="1"/>
  <c r="AA105" i="1"/>
  <c r="AB105" i="1"/>
  <c r="X106" i="1"/>
  <c r="Y106" i="1"/>
  <c r="Z106" i="1"/>
  <c r="AA106" i="1"/>
  <c r="AB106" i="1"/>
  <c r="X107" i="1"/>
  <c r="Y107" i="1"/>
  <c r="Z107" i="1"/>
  <c r="AA107" i="1"/>
  <c r="AB107" i="1"/>
  <c r="X108" i="1"/>
  <c r="Y108" i="1"/>
  <c r="Z108" i="1"/>
  <c r="AA108" i="1"/>
  <c r="AB108" i="1"/>
  <c r="X109" i="1"/>
  <c r="Y109" i="1"/>
  <c r="Z109" i="1"/>
  <c r="AA109" i="1"/>
  <c r="AB109" i="1"/>
  <c r="X110" i="1"/>
  <c r="Y110" i="1"/>
  <c r="Z110" i="1"/>
  <c r="AA110" i="1"/>
  <c r="AB110" i="1"/>
  <c r="X111" i="1"/>
  <c r="Y111" i="1"/>
  <c r="Z111" i="1"/>
  <c r="AA111" i="1"/>
  <c r="AB111" i="1"/>
  <c r="X112" i="1"/>
  <c r="Y112" i="1"/>
  <c r="Z112" i="1"/>
  <c r="AA112" i="1"/>
  <c r="AB112" i="1"/>
  <c r="X113" i="1"/>
  <c r="Y113" i="1"/>
  <c r="Z113" i="1"/>
  <c r="AA113" i="1"/>
  <c r="AB113" i="1"/>
  <c r="X114" i="1"/>
  <c r="Y114" i="1"/>
  <c r="Z114" i="1"/>
  <c r="AA114" i="1"/>
  <c r="AB114" i="1"/>
  <c r="X115" i="1"/>
  <c r="Y115" i="1"/>
  <c r="Z115" i="1"/>
  <c r="AA115" i="1"/>
  <c r="AB115" i="1"/>
  <c r="X116" i="1"/>
  <c r="Y116" i="1"/>
  <c r="Z116" i="1"/>
  <c r="AA116" i="1"/>
  <c r="AB116" i="1"/>
  <c r="X117" i="1"/>
  <c r="Y117" i="1"/>
  <c r="Z117" i="1"/>
  <c r="AA117" i="1"/>
  <c r="AB117" i="1"/>
  <c r="X118" i="1"/>
  <c r="Y118" i="1"/>
  <c r="Z118" i="1"/>
  <c r="AA118" i="1"/>
  <c r="AB118" i="1"/>
  <c r="X119" i="1"/>
  <c r="Y119" i="1"/>
  <c r="Z119" i="1"/>
  <c r="AA119" i="1"/>
  <c r="AB119" i="1"/>
  <c r="X120" i="1"/>
  <c r="Y120" i="1"/>
  <c r="Z120" i="1"/>
  <c r="AA120" i="1"/>
  <c r="AB120" i="1"/>
  <c r="X121" i="1"/>
  <c r="Y121" i="1"/>
  <c r="Z121" i="1"/>
  <c r="AA121" i="1"/>
  <c r="AB121" i="1"/>
  <c r="X122" i="1"/>
  <c r="Y122" i="1"/>
  <c r="Z122" i="1"/>
  <c r="AA122" i="1"/>
  <c r="AB122" i="1"/>
  <c r="X123" i="1"/>
  <c r="Y123" i="1"/>
  <c r="Z123" i="1"/>
  <c r="AA123" i="1"/>
  <c r="AB123" i="1"/>
  <c r="X124" i="1"/>
  <c r="Y124" i="1"/>
  <c r="Z124" i="1"/>
  <c r="AA124" i="1"/>
  <c r="AB124" i="1"/>
  <c r="X125" i="1"/>
  <c r="Y125" i="1"/>
  <c r="Z125" i="1"/>
  <c r="AA125" i="1"/>
  <c r="AB125" i="1"/>
  <c r="X126" i="1"/>
  <c r="Y126" i="1"/>
  <c r="Z126" i="1"/>
  <c r="AA126" i="1"/>
  <c r="AB126" i="1"/>
  <c r="X127" i="1"/>
  <c r="Y127" i="1"/>
  <c r="Z127" i="1"/>
  <c r="AA127" i="1"/>
  <c r="AB127" i="1"/>
  <c r="X128" i="1"/>
  <c r="Y128" i="1"/>
  <c r="Z128" i="1"/>
  <c r="AA128" i="1"/>
  <c r="AB128" i="1"/>
  <c r="X129" i="1"/>
  <c r="Y129" i="1"/>
  <c r="Z129" i="1"/>
  <c r="AA129" i="1"/>
  <c r="AB129" i="1"/>
  <c r="X130" i="1"/>
  <c r="Y130" i="1"/>
  <c r="AD130" i="1" s="1"/>
  <c r="Z130" i="1"/>
  <c r="AA130" i="1"/>
  <c r="AB130" i="1"/>
  <c r="X131" i="1"/>
  <c r="Y131" i="1"/>
  <c r="AD131" i="1" s="1"/>
  <c r="Z131" i="1"/>
  <c r="AA131" i="1"/>
  <c r="AB131" i="1"/>
  <c r="X132" i="1"/>
  <c r="Y132" i="1"/>
  <c r="Z132" i="1"/>
  <c r="AA132" i="1"/>
  <c r="AB132" i="1"/>
  <c r="X133" i="1"/>
  <c r="Y133" i="1"/>
  <c r="AD133" i="1" s="1"/>
  <c r="Z133" i="1"/>
  <c r="AA133" i="1"/>
  <c r="AB133" i="1"/>
  <c r="X134" i="1"/>
  <c r="Y134" i="1"/>
  <c r="AD134" i="1" s="1"/>
  <c r="Z134" i="1"/>
  <c r="AA134" i="1"/>
  <c r="AB134" i="1"/>
  <c r="X135" i="1"/>
  <c r="Y135" i="1"/>
  <c r="Z135" i="1"/>
  <c r="AA135" i="1"/>
  <c r="AB135" i="1"/>
  <c r="X136" i="1"/>
  <c r="Y136" i="1"/>
  <c r="Z136" i="1"/>
  <c r="AA136" i="1"/>
  <c r="AB136" i="1"/>
  <c r="X137" i="1"/>
  <c r="Y137" i="1"/>
  <c r="Z137" i="1"/>
  <c r="AA137" i="1"/>
  <c r="AB137" i="1"/>
  <c r="X138" i="1"/>
  <c r="Y138" i="1"/>
  <c r="Z138" i="1"/>
  <c r="AA138" i="1"/>
  <c r="AB138" i="1"/>
  <c r="X139" i="1"/>
  <c r="Y139" i="1"/>
  <c r="Z139" i="1"/>
  <c r="AA139" i="1"/>
  <c r="AB139" i="1"/>
  <c r="X140" i="1"/>
  <c r="Y140" i="1"/>
  <c r="Z140" i="1"/>
  <c r="AA140" i="1"/>
  <c r="AB140" i="1"/>
  <c r="X141" i="1"/>
  <c r="Y141" i="1"/>
  <c r="Z141" i="1"/>
  <c r="AA141" i="1"/>
  <c r="AB141" i="1"/>
  <c r="X142" i="1"/>
  <c r="Y142" i="1"/>
  <c r="Z142" i="1"/>
  <c r="AA142" i="1"/>
  <c r="AB142" i="1"/>
  <c r="C24" i="5"/>
  <c r="B4" i="10"/>
  <c r="AD142" i="1" l="1"/>
  <c r="AD141" i="1"/>
  <c r="AD140" i="1"/>
  <c r="AD139" i="1"/>
  <c r="AD138" i="1"/>
  <c r="AD137" i="1"/>
  <c r="AD136" i="1"/>
  <c r="AD128" i="1"/>
  <c r="AE128" i="1" s="1"/>
  <c r="D16" i="14" s="1"/>
  <c r="E16" i="14" s="1"/>
  <c r="AD114" i="1"/>
  <c r="AD121" i="1"/>
  <c r="AD113" i="1"/>
  <c r="AD122" i="1"/>
  <c r="AD120" i="1"/>
  <c r="AD112" i="1"/>
  <c r="AD127" i="1"/>
  <c r="AD119" i="1"/>
  <c r="AD111" i="1"/>
  <c r="AD126" i="1"/>
  <c r="AD118" i="1"/>
  <c r="AD110" i="1"/>
  <c r="AD125" i="1"/>
  <c r="AD117" i="1"/>
  <c r="AD109" i="1"/>
  <c r="AD124" i="1"/>
  <c r="AD116" i="1"/>
  <c r="AD123" i="1"/>
  <c r="AD115" i="1"/>
  <c r="AD108" i="1"/>
  <c r="AD107" i="1"/>
  <c r="AE107" i="1" s="1"/>
  <c r="D14" i="14" s="1"/>
  <c r="E14" i="14" s="1"/>
  <c r="AD106" i="1"/>
  <c r="AE106" i="1" s="1"/>
  <c r="D13" i="14" s="1"/>
  <c r="E13" i="14" s="1"/>
  <c r="AD104" i="1"/>
  <c r="AE92" i="1" s="1"/>
  <c r="D12" i="14" s="1"/>
  <c r="E12" i="14" s="1"/>
  <c r="AD85" i="1"/>
  <c r="AD77" i="1"/>
  <c r="AD84" i="1"/>
  <c r="AD76" i="1"/>
  <c r="AD91" i="1"/>
  <c r="AD83" i="1"/>
  <c r="AD75" i="1"/>
  <c r="AD90" i="1"/>
  <c r="AD82" i="1"/>
  <c r="AD89" i="1"/>
  <c r="AD81" i="1"/>
  <c r="AD88" i="1"/>
  <c r="AD80" i="1"/>
  <c r="AD87" i="1"/>
  <c r="AD79" i="1"/>
  <c r="AD74" i="1"/>
  <c r="AD66" i="1"/>
  <c r="AE66" i="1" s="1"/>
  <c r="D10" i="14" s="1"/>
  <c r="E10" i="14" s="1"/>
  <c r="AD65" i="1"/>
  <c r="AE65" i="1" s="1"/>
  <c r="D9" i="14" s="1"/>
  <c r="E9" i="14" s="1"/>
  <c r="AD57" i="1"/>
  <c r="AE56" i="1"/>
  <c r="D8" i="14" s="1"/>
  <c r="E8" i="14" s="1"/>
  <c r="AD55" i="1"/>
  <c r="AD54" i="1"/>
  <c r="AD53" i="1"/>
  <c r="AD52" i="1"/>
  <c r="AD51" i="1"/>
  <c r="AD50" i="1"/>
  <c r="AD48" i="1"/>
  <c r="AD47" i="1"/>
  <c r="AD46" i="1"/>
  <c r="AD45" i="1"/>
  <c r="AD44" i="1"/>
  <c r="AD43" i="1"/>
  <c r="AD42" i="1"/>
  <c r="AD37" i="1"/>
  <c r="AD29" i="1"/>
  <c r="AD21" i="1"/>
  <c r="AD13" i="1"/>
  <c r="AD36" i="1"/>
  <c r="AD28" i="1"/>
  <c r="AD20" i="1"/>
  <c r="AD12" i="1"/>
  <c r="AD35" i="1"/>
  <c r="AD27" i="1"/>
  <c r="AD19" i="1"/>
  <c r="AD11" i="1"/>
  <c r="AD34" i="1"/>
  <c r="AD26" i="1"/>
  <c r="AD18" i="1"/>
  <c r="AD10" i="1"/>
  <c r="AD41" i="1"/>
  <c r="AD33" i="1"/>
  <c r="AD25" i="1"/>
  <c r="AD17" i="1"/>
  <c r="AD9" i="1"/>
  <c r="AD40" i="1"/>
  <c r="AD32" i="1"/>
  <c r="AD24" i="1"/>
  <c r="AD16" i="1"/>
  <c r="AD8" i="1"/>
  <c r="AD39" i="1"/>
  <c r="AD31" i="1"/>
  <c r="AD23" i="1"/>
  <c r="AD15" i="1"/>
  <c r="AD7" i="1"/>
  <c r="AD6" i="1"/>
  <c r="AD5" i="1"/>
  <c r="AE136" i="1" l="1"/>
  <c r="D17" i="14" s="1"/>
  <c r="E17" i="14" s="1"/>
  <c r="AE108" i="1"/>
  <c r="D15" i="14" s="1"/>
  <c r="E15" i="14" s="1"/>
  <c r="AE74" i="1"/>
  <c r="D11" i="14" s="1"/>
  <c r="E11" i="14" s="1"/>
  <c r="AE42" i="1"/>
  <c r="D7" i="14" s="1"/>
  <c r="E7" i="14" s="1"/>
  <c r="AE5" i="1"/>
  <c r="AE143" i="1" l="1"/>
  <c r="A4" i="10" s="1"/>
  <c r="D6" i="14"/>
  <c r="E6" i="14" l="1"/>
  <c r="D18" i="14"/>
</calcChain>
</file>

<file path=xl/sharedStrings.xml><?xml version="1.0" encoding="utf-8"?>
<sst xmlns="http://schemas.openxmlformats.org/spreadsheetml/2006/main" count="512" uniqueCount="461">
  <si>
    <t>F</t>
  </si>
  <si>
    <t>NO.</t>
  </si>
  <si>
    <t>Misión, visión y valores</t>
  </si>
  <si>
    <t>Gestión empresarial</t>
  </si>
  <si>
    <t>Manuales de organización, políticas y procedimientos</t>
  </si>
  <si>
    <t>Comunicación, transparencia y rendición de cuentas</t>
  </si>
  <si>
    <t>Medidas anticorrupción</t>
  </si>
  <si>
    <t>EVIDENCIAS</t>
  </si>
  <si>
    <t>NE</t>
  </si>
  <si>
    <t>DO</t>
  </si>
  <si>
    <t>DP</t>
  </si>
  <si>
    <t>DI</t>
  </si>
  <si>
    <t>MR</t>
  </si>
  <si>
    <t>Observaciones</t>
  </si>
  <si>
    <t>Sistema Nacional de Certificación Turística</t>
  </si>
  <si>
    <t>VALOR EVIDENCIAS</t>
  </si>
  <si>
    <t>PUNTOS OBTENIDOS</t>
  </si>
  <si>
    <t>TOTAL</t>
  </si>
  <si>
    <t>SUMATORIA</t>
  </si>
  <si>
    <t>DERECHOS HUMANOS DE LOS TRABAJADORES</t>
  </si>
  <si>
    <t>NIVEL DE MADUREZ</t>
  </si>
  <si>
    <t>REQUISITOS</t>
  </si>
  <si>
    <t>CRITERIOS DE EVALUACIÓN</t>
  </si>
  <si>
    <t>SUBFACTORES</t>
  </si>
  <si>
    <t>Respeto a los derechos humanos</t>
  </si>
  <si>
    <t>No discriminación y atención a grupos vulnerables</t>
  </si>
  <si>
    <t>Equidad de género</t>
  </si>
  <si>
    <t>Inclusión y accesibilidad de personas con discapacidad</t>
  </si>
  <si>
    <t>Derecho de asociación</t>
  </si>
  <si>
    <t>Respeto al derecho laboral de los trabajadores</t>
  </si>
  <si>
    <t>Protección civil</t>
  </si>
  <si>
    <t>Desarrollo humano y formación del personal</t>
  </si>
  <si>
    <t>Inversión y rendimientos justos</t>
  </si>
  <si>
    <t>Selección, contratación y pago a proveedores</t>
  </si>
  <si>
    <t>Calidad de la proveeduría y alineamiento a la Responsabilidad Social</t>
  </si>
  <si>
    <t>Desarrollo de proveedores</t>
  </si>
  <si>
    <t>Protección de la salud y la seguridad de los consumidores</t>
  </si>
  <si>
    <t>Atención y satisfacción del cliente</t>
  </si>
  <si>
    <t>Resolución de quejas y controversias</t>
  </si>
  <si>
    <t>Mercadotecnia y publicidad responsable y transparente</t>
  </si>
  <si>
    <t>Protección y privacidad de los datos de los consumidores</t>
  </si>
  <si>
    <t>Competencia justa y honesta</t>
  </si>
  <si>
    <t>Uso sustentable de recursos naturales</t>
  </si>
  <si>
    <t>SI</t>
  </si>
  <si>
    <t>NO</t>
  </si>
  <si>
    <t>CUMPLIMIENTO DEL MARCO LEGAL Y NORMATIVO</t>
  </si>
  <si>
    <t>Cumplimiento</t>
  </si>
  <si>
    <t>REFERENTES / EQUIVALENCIAS</t>
  </si>
  <si>
    <t>REFERENTE / EQUIVALENCIA</t>
  </si>
  <si>
    <r>
      <rPr>
        <b/>
        <sz val="11"/>
        <color theme="1"/>
        <rFont val="Soberana Sans Light"/>
        <family val="3"/>
      </rPr>
      <t>Distintivo Empresa Incluyente “Gilberto Rincón Gallardo”.</t>
    </r>
    <r>
      <rPr>
        <sz val="11"/>
        <color theme="1"/>
        <rFont val="Soberana Sans Light"/>
        <family val="3"/>
      </rPr>
      <t xml:space="preserve"> STPS</t>
    </r>
  </si>
  <si>
    <r>
      <rPr>
        <b/>
        <sz val="11"/>
        <color theme="1"/>
        <rFont val="Soberana Sans Light"/>
        <family val="3"/>
      </rPr>
      <t>Certificado de Calidad Ambiental Turística.</t>
    </r>
    <r>
      <rPr>
        <sz val="11"/>
        <color theme="1"/>
        <rFont val="Soberana Sans Light"/>
        <family val="3"/>
      </rPr>
      <t xml:space="preserve"> SEMARNAT PROFEPA</t>
    </r>
  </si>
  <si>
    <t>Referentes</t>
  </si>
  <si>
    <t>Instrucciones de Llenado</t>
  </si>
  <si>
    <t>Abreviaturas</t>
  </si>
  <si>
    <t xml:space="preserve">Sistema Nacional de Certificación Turística </t>
  </si>
  <si>
    <t>Factor</t>
  </si>
  <si>
    <t>F:</t>
  </si>
  <si>
    <t>SNCT:</t>
  </si>
  <si>
    <t>Grado de Cumplimiento / Evidencias</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</si>
  <si>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</si>
  <si>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</si>
  <si>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</si>
  <si>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</si>
  <si>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</si>
  <si>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</si>
  <si>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</si>
  <si>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</si>
  <si>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</si>
  <si>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</si>
  <si>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</si>
  <si>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</si>
  <si>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</si>
  <si>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</si>
  <si>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</si>
  <si>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</si>
  <si>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</si>
  <si>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</si>
  <si>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LEY GENERAL DE PROTECCION CIVIL Y SU REGLAMENTO (FEDERAL Y LOCAL)</t>
  </si>
  <si>
    <t>GOBERNANZA DE LA ORGANIZACIÓN     (ADMINISTRACIÓN ESTRATÉGICA)</t>
  </si>
  <si>
    <t>Cuenta con Misión y Visión</t>
  </si>
  <si>
    <t>Cuenta con Valores.</t>
  </si>
  <si>
    <t>Código de ética o de conducta</t>
  </si>
  <si>
    <t>Cuenta con un Código de ética o de conducta.</t>
  </si>
  <si>
    <t xml:space="preserve">  Cuenta con un Plan de Negocio o Estratégico.</t>
  </si>
  <si>
    <t>Cuenta con un Plan de Negocio o Estratégico.</t>
  </si>
  <si>
    <t>Iincluye objetivos, metas y responsables de llevarlos a cabo en la empresa.</t>
  </si>
  <si>
    <t>Incluye la definición y segmentación de clientes objetivo.</t>
  </si>
  <si>
    <t>Incluye la identificación y características de la competencia.</t>
  </si>
  <si>
    <t>Incluye la identificación de fortalezas y limitaciones a través de un análisis FODA</t>
  </si>
  <si>
    <t>Evalúa sistemáticamente el clima laboral.</t>
  </si>
  <si>
    <t>Establece un plan de acción para la mejora del clima laboral.</t>
  </si>
  <si>
    <t>Evalúa sistemáticamente el nivel de liderazgo.</t>
  </si>
  <si>
    <t>Establece un plan de acción para la mejora del nivel de liderazgo.</t>
  </si>
  <si>
    <t>Cuenta con un consejo de administración o directivo que opera formalmente.</t>
  </si>
  <si>
    <t>Las normas y procedimientos, incluyen el trato equitativo de todos los accionistas, el acceso a la información y a la capacidad de ejercer sus derechos.</t>
  </si>
  <si>
    <t>La estructura u organigrama del consejo incluye  comités o responsables de políticas y acciones relacionadas con las cuestiones éticas y sociales de la empresa.</t>
  </si>
  <si>
    <t>Opera con normas y procedimientos formales.</t>
  </si>
  <si>
    <t>La empresa está registrada ante una Cámara, Asociación o agrupación certificada del subsector  para fortalecer su operación.</t>
  </si>
  <si>
    <t>Cuenta con un registro vigente y participa en reuniones.</t>
  </si>
  <si>
    <t>Lleva a cabo un intercambio de experiencias de mejores prácticas (benchmarking) con empresas del mismo giro para fortalecer la calidad del servicio que se presta.</t>
  </si>
  <si>
    <t>Cuenta con un Manual de organización, que incluye la estructura organizacional del negocio y la descripción de funciones.</t>
  </si>
  <si>
    <t xml:space="preserve">Cuenta con manual de organización. </t>
  </si>
  <si>
    <t>Cuenta con un organigrama que incluye un comité de RSE.</t>
  </si>
  <si>
    <t>Existe un método para realizar revisiones gerenciales y ejecutivas.</t>
  </si>
  <si>
    <t>Cuenta con manuales de procedimientos de las principales áreas de la empresa.</t>
  </si>
  <si>
    <t>Cuenta con un manual de procedimientos administrativos.</t>
  </si>
  <si>
    <t>Cuenta con un manual de procedimientos de ventas.</t>
  </si>
  <si>
    <t>Cuenta con un manual de procedimientos de recursos humanos que incluye  un Catálogo de puestos con competencias, funciones y responsabilidades.</t>
  </si>
  <si>
    <t>Cuenta con un manual de procedimientos para la adquisición de bienes y servicios.</t>
  </si>
  <si>
    <t>Cuenta con un manual y políticas de  RSE</t>
  </si>
  <si>
    <t>Cuenta con un manual de RSE.</t>
  </si>
  <si>
    <t>Lleva a cabo un monitoreo de adecuación entre los valores declarados y su correspondencia en las prácticas cotidianas, en todos los niveles jerárquicos.</t>
  </si>
  <si>
    <t>Cuenta con un programa de RSE implementado en la organización.</t>
  </si>
  <si>
    <t>Cuenta con procesos de comunicación interna y externa apropiados y formales.</t>
  </si>
  <si>
    <t>Cuenta con procesos o sistemas de comunicación e información formales internos y externos.</t>
  </si>
  <si>
    <t>Se informa al personal los planes, programas, objetivos, metas y políticas del negocio.</t>
  </si>
  <si>
    <t>Se informa al personal los resultados de la empresa.</t>
  </si>
  <si>
    <t>Cuenta la organización con programas y procesos para involucrar a los colaboradores en las decisiones de la gerencia, tales como cambios importantes en las operaciones de la organización (por ejemplo, reestructuración), así como también en las operaciones diarias.</t>
  </si>
  <si>
    <t>Cuenta con un buzón de quejas físico y/o electrónico.</t>
  </si>
  <si>
    <t>Lleva a cabo auditorias y/o revisiones a los procedimientos y operaciones de la empresa.</t>
  </si>
  <si>
    <t>Lleva a cabo auditorias contables.</t>
  </si>
  <si>
    <t>Lleva a cabo auditorias administrativas.</t>
  </si>
  <si>
    <t>Lleva a cabo programas regulares de auditoría y evaluación en materia ética, valores y RSE.</t>
  </si>
  <si>
    <t>Cuenta con políticas que promueven la adopción de medidas anticorrupción y que prohíban prácticas ilegales.</t>
  </si>
  <si>
    <t>Prohíbe expresamente la utilización de prácticas ilegales, tales como: corrupción, soborno, cohecho,  extorsión, doble contabilidad,  para obtener ventajas económicas.</t>
  </si>
  <si>
    <t>Alienta a los empleados, socios, clientes y proveedores a que informen sobre violaciones de las políticas de la organización y tratamientos inmorales o injustos adoptando mecanismos que permitan ofrecer información y hacer un seguimiento de la acción, sin miedo a represalias.</t>
  </si>
  <si>
    <t>Promueve la igualdad de oportunidades, el respeto de los derechos humanos de todos sus trabajadores y la participación social.</t>
  </si>
  <si>
    <t>Implementa políticas que promueven la igualdad de oportunidades en todos sus ámbitos y respeta los derechos humanos de todos sus trabajadores.</t>
  </si>
  <si>
    <t>Se evitan pruebas de embarazo, VIH, etc. al momento de la contratación.</t>
  </si>
  <si>
    <t xml:space="preserve">Se establece explícitamente la prohibición de cualquier tipo de acoso. </t>
  </si>
  <si>
    <t>Cuenta con mecanismos para reportar situaciones de acoso sin temor a represalias.</t>
  </si>
  <si>
    <t>Los contratos de trabajo son lo suficientemente claros sobre los derechos y obligaciones de los colaboradores.</t>
  </si>
  <si>
    <t>No contrata personal de forma ilegal o por debajo de las condiciones mínimas, u otro tipo de acciones que vayan en contra del respeto humano del colaborador dictadas por la legislación nacional.</t>
  </si>
  <si>
    <t>Lleva a cabo la organización actividades sociales en las cuales participen los colaboradores y sus familias.</t>
  </si>
  <si>
    <t>Promueve la no discriminación y la atención de grupos vulnerables: prohibición del trabajo infantil, la igualdad de los trabajadores sin ningún distingo, y jornadas de trabajo flexibles.</t>
  </si>
  <si>
    <t>Cuenta con políticas que prohíben el trabajo infantil (menores de 14 años), de acuerdo con la legislación nacional.</t>
  </si>
  <si>
    <t>Promueve la igualdad de los trabajadores sin distinción de: raza, color, género, edad, religión, etnia o procedencia social, motivos económicos, discapacidad, embarazo, preferencia sexual, afiliación política u opiniones políticas, ser portador o padecer VIH/SIDA, entre otros.</t>
  </si>
  <si>
    <t>Existen lineamientos que prohíben y sancionan prácticas discriminatorias por credo, género, edad, raza o discapacidad, en los procesos de admisión y promoción interna.</t>
  </si>
  <si>
    <t>Ofrece jornadas de trabajo flexible para el personal que requiera compatibilizar su actividad con el cuidado de sus hijos: jardines de niños, horas de lactancia, etc.</t>
  </si>
  <si>
    <t>Cuenta con una política que promueva la equidad de género en igualdad de condiciones.</t>
  </si>
  <si>
    <t>Promueve que todo trabajo sea desempeñado por mujeres y hombres en condiciones de igualdad, reconocidos legalmente como trabajadores.</t>
  </si>
  <si>
    <t>Cuenta con una política que promueve el empleo a personas con discapacidad.</t>
  </si>
  <si>
    <t>Cuenta con una política de brindar oportunidades de empleo personas con discapacidad.</t>
  </si>
  <si>
    <t>Tiene al menos un puesto disponible para ser ocupado por una persona con alguna discapacidad y cuenta con las instalaciones (condiciones físicas) para el desempeño de su trabajo.</t>
  </si>
  <si>
    <t>PRÁCTICAS LABORALES</t>
  </si>
  <si>
    <t>Permite la libertad de asociación de grupos de colaboradores y/o sindicato al interior de la empresa.</t>
  </si>
  <si>
    <t>Cuenta con políticas y procedimientos para gestionar recursos humanos.</t>
  </si>
  <si>
    <t>Cuenta con políticas y procedimientos para gestionar recursos humanos: promoción, reclutamiento, selección, contratación-contrato de trabajo, inducción, capacitación, previsión social, jubilación, entre otros aspectos.</t>
  </si>
  <si>
    <t>Salud. Seguridad e higiene en el trabajo</t>
  </si>
  <si>
    <t>Declara las condiciones de seguridad y salud que prevalecen en su centro de trabajo.</t>
  </si>
  <si>
    <t>Cuenta con condiciones óptimas de seguridad e higiene para prevenir riesgos de trabajo.</t>
  </si>
  <si>
    <t>Cuenta con un programa interno de protección civil.</t>
  </si>
  <si>
    <t>Cuenta con un programa interno  de protección civil para la prevención de lesiones, enfermedades y accidentes laborales, así como para el tratamiento de emergencias,  y cuenta con el equipo de seguridad necesario.</t>
  </si>
  <si>
    <t>Promueve la capacitación y adiestramiento, evalúa e incentiva la labor de los colaboradores y  promueve su  desarrollo y formación.</t>
  </si>
  <si>
    <t>Establece Planes y programas de  capacitación y adiestramiento, en base a una detección de necesidades de capacitación.</t>
  </si>
  <si>
    <t>Cuenta con un Plan de Incentivos para sus trabajadores, basado en mecanismos de evaluación del desempeño  con el objeto de garantizar la satisfacción del cliente.</t>
  </si>
  <si>
    <t>Cuenta con una Política integral de capacitación continua donde se incluye: Inducción a la empresa, legislación para el subsector, primeros auxilios para dar atención a comensales, calidad en el servicio, perfiles de los clientes (según procedencia del turista), conservación del ambiente, temas sociales, desarrollo personal y profesional, atención  a personas con discapacidad  y código de Conducta.</t>
  </si>
  <si>
    <t>Cuenta con un Plan anual de capacitación para el desarrollo de competencias.</t>
  </si>
  <si>
    <t>Cuenta con un mecanismo para evaluar el cumplimiento y calidad de los programas de capacitación y da seguimiento a los resultados.</t>
  </si>
  <si>
    <t>INVERSIONISTAS</t>
  </si>
  <si>
    <t>Informa los resultados financieros a los accionistas o inversionistas</t>
  </si>
  <si>
    <t>Reconoce y muestra el debido respeto, tanto por los intereses, como por los derechos legales de sus partes interesadas y responde a las inquietudes que manifiesten.</t>
  </si>
  <si>
    <t>PROVEEDORES</t>
  </si>
  <si>
    <t>Cuenta con una política y procedimientos para la contratación y pago a proveedores.</t>
  </si>
  <si>
    <t>Cuenta con una política de selección de proveedores con criterios de precio, calidad y entrega.</t>
  </si>
  <si>
    <t>Tiene un procedimiento para gestionar compras e incluyen aspectos de RSE.</t>
  </si>
  <si>
    <t>Cuenta con una guía o lista de proveedores seleccionados.</t>
  </si>
  <si>
    <t>Tiene una política de pago a proveedores.</t>
  </si>
  <si>
    <t>Promueve la calidad de la proveeduría y que ésta se encuentre alineada a la Responsabilidad Social.</t>
  </si>
  <si>
    <t>Informa por escrito las condiciones en que se deben transportar, entregar, y manipular los productos requeridos características organolépticas de el / los productos.</t>
  </si>
  <si>
    <t>Se involucra en el desarrollo de sus proveedores.</t>
  </si>
  <si>
    <t>Tiene como política involucrarse en el desarrollo de sus proveedores en proyectos que significan mejoras en los procesos.</t>
  </si>
  <si>
    <t>Da preferencia a proveedores si éstos están comprometidos con la responsabilidad social.</t>
  </si>
  <si>
    <t>CLIENTES</t>
  </si>
  <si>
    <t>Promueve la protección de la salud y la seguridad de los consumidores</t>
  </si>
  <si>
    <t>Cuenta con una Política y objetivos de calidad, que permita asegurar la salud y la seguridad de los consumidores.</t>
  </si>
  <si>
    <t>Los procesos están alineados a la política y objetivos de calidad.</t>
  </si>
  <si>
    <t>Atiende disposiciones técnicas relativas al control de plagas.</t>
  </si>
  <si>
    <t>Atiende disposiciones técnicas relativas al almacenamiento de productos químicos.</t>
  </si>
  <si>
    <t>Atiende disposiciones técnicas relativas de calidad e higiene en el servicio.</t>
  </si>
  <si>
    <t>Establece un Programa de mantenimiento preventivo de equipos e instalaciones.</t>
  </si>
  <si>
    <t>Todas las áreas de almacén están debidamente identificadas y se encuentran en condiciones óptimas en cuanto a orden, limpieza e higiene.</t>
  </si>
  <si>
    <t>Cuenta con un procedimiento de acciones correctivas y preventivas.</t>
  </si>
  <si>
    <t>Cuenta con una bitácora en la que se indican los problemas e irregularidades detectadas en el día.</t>
  </si>
  <si>
    <t>Cuenta con políticas y procedimientos para la atención y satisfacción del cliente.</t>
  </si>
  <si>
    <t>Cuenta con un Proceso de prestación de servicios. (protocolo de atención al cliente, folletos, decálogo)</t>
  </si>
  <si>
    <t>Cuenta con personal capacitado para atender a clientes en otros idiomas.</t>
  </si>
  <si>
    <t>Cuenta con una Política sobre no negar o condicionar el servicio al consumidor por razones de género, nacionalidad, étnicas, preferencia sexual, religiosas o cualquiera otra particularidad.</t>
  </si>
  <si>
    <t>Opera de manera transparente, proporcionando información relacionada con el establecimiento de precios y cargos, etc.</t>
  </si>
  <si>
    <t>Utiliza algún sistema para medir la satisfacción del cliente.</t>
  </si>
  <si>
    <t>Cuenta con indicadores para medir los resultados de la satisfacción del cliente.</t>
  </si>
  <si>
    <t>Cuenta con un procedimiento sistemático para el manejo y gestión de quejas y sugerencias, que permite su registro, análisis, asignación, solución y retroalimentación al cliente.</t>
  </si>
  <si>
    <t>Cuenta con un procedimiento púbico para la resolución de quejas y controversias.</t>
  </si>
  <si>
    <t>Prácticas comerciales justas y responsables</t>
  </si>
  <si>
    <t>Aplica políticas que promueven prácticas comerciales justas y responsables.</t>
  </si>
  <si>
    <t>PRÁCTICAS COMERCIALES</t>
  </si>
  <si>
    <t>Promueve la organización prácticas de venta con criterios éticos.</t>
  </si>
  <si>
    <t>Cuenta con precios y condiciones de venta claros y coinciden con el producto o servicio que se ofrece.</t>
  </si>
  <si>
    <t>La mercadotecnia y publicidad que realiza no genera falsas expectativas y está alineada a los valores de la empresa.</t>
  </si>
  <si>
    <t>Cuenta con un Plan de mercadotecnia (ventas, precios, productos, distribución, promoción, etc.)</t>
  </si>
  <si>
    <t>Cuenta con una Política comercial alineada con los objetivos de la empresa.</t>
  </si>
  <si>
    <t>Las campañas publicitarias están alineadas con los valores de la organización.</t>
  </si>
  <si>
    <t>Dispone de una página web como instrumento de comunicación.</t>
  </si>
  <si>
    <t>Cuenta con políticas de protección y privacidad de los datos de los consumidores.</t>
  </si>
  <si>
    <t>Cuenta con una política que protege la privacidad y los datos de carácter personal de los consumidores, mediante salvaguardas adecuadas de seguridad.</t>
  </si>
  <si>
    <t>No revela, ni pone a disposición, ni usa los datos de carácter personal, para propósitos distintos de aquellos especificados, incluido el marketing, excepto cuando exista consentimiento informado y voluntario del consumidor.</t>
  </si>
  <si>
    <t>Existe una base de datos de clientes con información relevante sobre sus características, necesidades, expectativas e incidencias.</t>
  </si>
  <si>
    <t>COMPETENCIA</t>
  </si>
  <si>
    <t>Respeto a los derechos de propiedad nacional e internacional</t>
  </si>
  <si>
    <t>Cuenta con políticas para el debido respeto de los derechos de propiedad.</t>
  </si>
  <si>
    <t>Lleva a cabo investigaciones apropiadas para asegurarse de que cuenta con el título legal que le permite hacer uso o disponer de una propiedad.</t>
  </si>
  <si>
    <t>No se involucra en actividades que violen los derechos de la propiedad, incluido el uso indebido de una posición dominante, la falsificación y la piratería.</t>
  </si>
  <si>
    <t>Promueve ante la competencia prácticas comerciales justas y honestas.</t>
  </si>
  <si>
    <t>Realizar sus actividades de manera coherente con las leyes y regulaciones en materia de competencia.</t>
  </si>
  <si>
    <t>AUTORIDAD Y LEGALIDAD</t>
  </si>
  <si>
    <t>Cumplimiento de las leyes, reglamentos, normas y lineamientos nacionales e internacionales</t>
  </si>
  <si>
    <t>cumple con leyes, reglamentos, normas y lineamientos nacionales e internacionales</t>
  </si>
  <si>
    <t>MEDIO AMBIENTE</t>
  </si>
  <si>
    <t>Acciones de prevención, y mitigación del impacto ambiental generado por la contaminación, protección de la biodiversidad y restauración de hábitats</t>
  </si>
  <si>
    <t>Cumple con las disposiciones legales y cuenta con planes y programas para la prevención y mitigación del impacto ambiental.</t>
  </si>
  <si>
    <t>Cuenta con una política para no utilizar servicios, ni consumir productos, que tengan contraindicaciones ambientales.</t>
  </si>
  <si>
    <t>Reutiliza papel y sistemas informáticos que permiten reducir su consumo.</t>
  </si>
  <si>
    <t>Se promueve políticas, planes y acciones para un uso sustentable de cursos naturales.</t>
  </si>
  <si>
    <t>DESARROLLO SOCIAL Y COMUNITARIO</t>
  </si>
  <si>
    <t>Impulso al desarrollo social</t>
  </si>
  <si>
    <t>Promueve el interés de establecer y llevar a cabo políticas y acciones en apoyo al desarrollo social.</t>
  </si>
  <si>
    <t>Cuenta con una política que señala la intención de apoyar el desarrollo de las comunidades donde opera.</t>
  </si>
  <si>
    <t>Contrata personas de la localidad para cubrir al menos el 60% de las contrataciones de personal.</t>
  </si>
  <si>
    <t>Contribuye y apoya la formación de estudiantes de la localidad, para que realicen pasantías o prácticas en el negocio de acuerdo con su perfil escolar.</t>
  </si>
  <si>
    <t>Participa en proyectos gubernamentales de apoyo social.</t>
  </si>
  <si>
    <t>Cuenta con un programa de voluntariado.</t>
  </si>
  <si>
    <t>Acciones para el desarrollo comunitario</t>
  </si>
  <si>
    <t>Colabora con organizaciones desarrollando acciones en apoyo a la comunidad.</t>
  </si>
  <si>
    <t>Otorga donativos para apoyar programas comunitarios y a organizaciones no gubernamentales (ONG's).</t>
  </si>
  <si>
    <t>Procesos y mejora continua</t>
  </si>
  <si>
    <t>Establece planes y programas que impulsan una filosofía de calidad y mejora continua.</t>
  </si>
  <si>
    <t>Establece un plan y programa de calidad integral en todas las áreas de la empresa.</t>
  </si>
  <si>
    <t>Establece como política la filosofía de mejora continua en los procesos operativos y administrativos de la empresa.</t>
  </si>
  <si>
    <t>Establece controles y registros para llevar a cabo acciones preventivas y correctivas.</t>
  </si>
  <si>
    <t>Trabaja en conjunto con una Cámara o Asociación con el objeto de una mejora continua en la calidad del servicio que se presta.</t>
  </si>
  <si>
    <t>Revisión de prácticas de calidad y RSE</t>
  </si>
  <si>
    <t>Cuenta con un plan o programa de revisión de prácticas de calidad y RSE.</t>
  </si>
  <si>
    <t>Cuenta con un plan o programa de revisión de prácticas de calidad y RSE de la empresa.</t>
  </si>
  <si>
    <t>Informes de sostenibilidad</t>
  </si>
  <si>
    <t>Cuenta con reportes o memorias de sostenibilidad de la empresa.</t>
  </si>
  <si>
    <t>Cuenta con reportes o memorias de sostenibilidad de la empresa: expone información acerca del desempeño económico, ambiental, social y de gobierno de la organización  (Global Reporting Initiative -GRI)</t>
  </si>
  <si>
    <t xml:space="preserve">Distintivo Empresa Familiarmente Responsable
NMX-R-025-SCFI-2012
Distintivo Empresa Incluyente Gilberto Rincón Gallardo
Ley General para la Igualdad entre Mujeres y Hombres
</t>
  </si>
  <si>
    <t xml:space="preserve">Condiciones Generales de Trabajo STPS </t>
  </si>
  <si>
    <t>Acuerdo por el que se dan a conocer los formatos para realizar los trámites administrativos en materia de capacitación y adiestramiento, emitido por la STPS.</t>
  </si>
  <si>
    <t>Ley Federal de Protección de Datos Personales en Posesión de los Particulares</t>
  </si>
  <si>
    <t>NMX-SAST-26000-IMNC-2011.</t>
  </si>
  <si>
    <t>RESPUESTA(S) A PREGUNTA(S)</t>
  </si>
  <si>
    <t>LEY GENERAL DEL EQUILIBRIO ECOLÓGICO Y PROTECCIÓN AL AMBIENTE (FEDERAL Y LOCAL)</t>
  </si>
  <si>
    <t>NORMAS OFICIALES MEXICANAS (NOM’S) EN SEGURIDAD Y SALUD EN EL TRABAJO. STPS (FEDERAL)</t>
  </si>
  <si>
    <t>Subsector Golf</t>
  </si>
  <si>
    <t>La  empresa cuenta con Misión, Visión y Valores, asociados a la Calidad, la Responsabilidad Social Empresarial (RSE) y la Sustentabilidad.</t>
  </si>
  <si>
    <t>Cuenta con un código de ética o de conducta que establece los principios, valores y acciones éticas buscadas por la empresa, asociados a la Calidad, la Responsabilidad Social Empresarial (RSE) y la Sustentabilidad.</t>
  </si>
  <si>
    <t>Distintivos M I y II
Distintivo S
Certificación EarthCheck
NMX-CC-9001-IMNC-2008 ISO 9001:2008 COPANT/ISO 9001:2008 Sistemas de gestión de la calidad – Requisitos
ISO 14001:2004; COPANT/ISO 14001:2004; 
NMX-SSA-14001-IMNC-2004 Sistemas de Gestión Ambiental
ISO 50001:2011 NMX-J-SSA-50001-ANCE-IMNC-2011 Sistemas de gestión de la energía. Requisitos con orientación para su uso</t>
  </si>
  <si>
    <t>Cuenta con políticas de no darle trabajo a un proveedor que tenga como práctica el trabajo forzado; y, si éstos contratan a menores de edad en el desempeño de sus procesos.</t>
  </si>
  <si>
    <t>Atiende disposiciones técnicas relativas a la calidad e higiene de equipos.</t>
  </si>
  <si>
    <t>Establece los lineamientos de satisfacción al cliente: prestación de servicio (reservación, bienvenida, realización de servicio, cobro, etc.)</t>
  </si>
  <si>
    <t>Tiene un Logo.</t>
  </si>
  <si>
    <t>Tiene un Slogan asociado a alguno de los objetivos de Calidad, Sustentabilidad y Responsabilidad Social.</t>
  </si>
  <si>
    <t>Desarrolla  mecanismos o políticas internas para cumplir con la legislación aplicable a la empresa y mantenerse actualizado.</t>
  </si>
  <si>
    <t>Acciones de prevención, y mitigación del impacto ambiental generado por la construcción, operación y mantenimiento   así como para la protección de la biodiversidad y restauración de hábitats</t>
  </si>
  <si>
    <t>Cumple con las disposiciones legales y lineamientos ambientales y cuenta con planes y programas para la prevención y mitigación del impacto ambiental.</t>
  </si>
  <si>
    <t xml:space="preserve">Establece un Plan Estratégico en el que se definen los objetivos, planes y acciones a desarrollar, para la  prevención y mitigación del impacto ambiental. </t>
  </si>
  <si>
    <t>El Plan define un sistema de verificación, seguimiento revisión y análisis de resultados, así como los responsables.</t>
  </si>
  <si>
    <t>Cuenta con una Política para reusar y reducir la generación de residuos</t>
  </si>
  <si>
    <t>Cuenta con un plan  de acción para el cumplimiento de las medidas y acciones para la  prevención y mitigación de impactos.</t>
  </si>
  <si>
    <t>Prioriza el uso de pastos resistentes a las condiciones ambientales locales, así como a sequias y enfermedades.</t>
  </si>
  <si>
    <t>Cuenta con un sistema de riego controlado que garantiza la optimización del uso del agua y los productos de mantenimiento para evitar la saturación de terrero u otros métodos que eviten la contaminación de acuíferos.</t>
  </si>
  <si>
    <t>En áreas de andadores y estacionamientos los recubrimientos se realizan con base en materiales permeables</t>
  </si>
  <si>
    <t>Cuenta con un índice de infiltración, que  en caso que sea superior al 40%, deberá contar con los métodos  que evite el paso a las capas profundas del subsuelo de los derivados del mantenimiento, a fin de no rebasar el límite.</t>
  </si>
  <si>
    <t>Utiliza productos orgánicos y/o biodegradables para el mantenimiento del campo de golf.</t>
  </si>
  <si>
    <t>Cuenta y aplica un manejo integrado para el control de plagas y mantenimiento de jardines</t>
  </si>
  <si>
    <t>Se abastecen con aguas residuales tratadas, y de manera alternativa con agua marina y pluviales.</t>
  </si>
  <si>
    <t>Los lagos u otros cuerpos de agua artificiales, están completamente impermeabilizados y aislados de los depósitos naturales de agua diferentes al mar y cumplen en todo momento con la normatividad aplicable.</t>
  </si>
  <si>
    <t>Cumple con los límites máximos permisibles de contaminantes en las descargas de aguas residuales en aguas y bienes nacionales, de acuerdo a la normatividad aplicable.</t>
  </si>
  <si>
    <t>Cumple con los límites máximos permisibles de contaminantes en las descargas de aguas residuales a los sistemas de alcantarillado urbano o municipal, de acuerdo a la normatividad aplicable.</t>
  </si>
  <si>
    <t>Cuenta con indicadores de desempeño ambiental para eficientar las operaciones del negocio, respecto al control de sus aspectos ambientales.</t>
  </si>
  <si>
    <t>Cuenta con un programa de uso eficiente del agua (utiliza dispositivos para el ahorro de agua en llaves y sanitarios).</t>
  </si>
  <si>
    <t>Cuenta con un  programa de mantenimiento de las instalaciones, en el que se considera  la revisión periódica de tuberías con el fin de ubicar fugas de agua.</t>
  </si>
  <si>
    <t>Cuenta con luminarias de bajo consumo de energía.</t>
  </si>
  <si>
    <t>Tiene una política que contribuye con donaciones en especie, o económicas que apoyen necesidades de la comunidad: salud, educación, cultura y acciones cívicas</t>
  </si>
  <si>
    <t xml:space="preserve">  Colabora con el desarrollo comunitario estableciendo diversa acciones de apoyo a la comunidad.</t>
  </si>
  <si>
    <t>Verifica y evalúa sistemáticamente la efectividad de sus programas, planes, procesos, procedimientos, políticas y acciones.</t>
  </si>
  <si>
    <t xml:space="preserve">Distintivos Moderniza I  y II
Certificación Earthcheck
NMX-CC-9001-IMNC-2008  (Equivalente nacional de ISO 9001:2008).
NMX-CC-9004-IMNC-2009
</t>
  </si>
  <si>
    <t xml:space="preserve">NMX-CC-9004-IMNC-2009
Distintivo S
Certificación Earthcheck
</t>
  </si>
  <si>
    <t xml:space="preserve">Distintivo S
Certificación EarthCheck
NMX-CC-9001-IMNC-2008 ISO 9001:2008 COPANT/ISO 9001:2008 Sistemas de gestión de la calidad – Requisitos
ISO 14001:2004; COPANT/ISO 14001:2004; 
NMX-SSA-14001-IMNC-2004 Sistemas de Gestión Ambiental
 ISO 50001:2011 NMX-J-SSA-50001-ANCE-IMNC-2011 Sistemas de gestión de la energía. Requisitos con orientación para su uso
NMX-AA-162-SCFI-2012 y
NMX-AA-163-SCFI-2012
SEMARNAT y PROFEPA
</t>
  </si>
  <si>
    <t xml:space="preserve">Lineamientos ambientales 
Distintivo S
Certificación EarthCheck
NMX-CC-9001-IMNC-2008 ISO 9001:2008 COPANT/ISO 9001:2008 Sistemas de gestión de la calidad – Requisitos
ISO 14001:2004; COPANT/ISO 14001:2004; 
NMX-SSA-14001-IMNC-2004 Sistemas de Gestión Ambiental
ISO 50001:2011 NMX-J-SSA-50001-ANCE-IMNC-2011 Sistemas de gestión de la energía. Requisitos con orientación para su uso
NMX-AA-162-SCFI-2012 y
NMX-AA-163-SCFI-2012
SEMARNAT y PROFEPA
Criterios Globales de Turismo Sostenible
</t>
  </si>
  <si>
    <t>Leyes, Reglamentos, Acuerdos, Lineamientos, etc.</t>
  </si>
  <si>
    <t>Ley Federal de Competencia</t>
  </si>
  <si>
    <t xml:space="preserve">Distintivos M I y II
Distintivo S
Certificación EarthCheck
NMX-CC-9001-IMNC-2008 ISO 9001:2008 COPANT/ISO 9001:2008 Sistemas de gestión de la calidad – Requisitos
</t>
  </si>
  <si>
    <t xml:space="preserve">Distintivos M I y II
Distintivo S
Certificación EarthCheck
NMX-CC-9001-IMNC-2008 ISO 9001:2008 COPANT/ISO 9001:2008 Sistemas de gestión de la calidad – Requisitos 
</t>
  </si>
  <si>
    <t xml:space="preserve">Distintivos M I y II
Distintivo S
Certificación EarthCheck
NMX-CC-9001-IMNC-2008 ISO 9001:2008 COPANT/ISO 9001:2008 Sistemas de gestión de la calidad – Requisitos
ISO 14001:2004; COPANT/ISO 14001:2004; 
NMX-SSA-14001-IMNC-2004 Sistemas de Gestión Ambiental
ISO 50001:2011 NMX-J-SSA-50001-ANCE-IMNC-2011 Sistemas de gestión de la energía. Requisitos con orientación para su uso
</t>
  </si>
  <si>
    <t xml:space="preserve">Condiciones Generales de Trabajo STPS
NMX-CC-9001-IMNC-2008  (Equivalente nacional de ISO 9001:2008).
Distintivo Empresa Familiarmente Responsable
NMX-R-025-SCFI-2012
Distintivo Empresa Incluyente Gilberto Rincón Gallardo.
</t>
  </si>
  <si>
    <t>Distintivo Empresa Incluyente Gilberto Rincón Gallardo
Ley Federal para Prevenir y Eliminar la discriminación.
Ley General para la Inclusión de Personas con Discapacidad</t>
  </si>
  <si>
    <t>Distintivos M I y II
Distintivo S
Certificación EarthCheck
NMX-CC-9001-IMNC-2008 ISO 9001:2008 COPANT/ISO 9001:2008 Sistemas de gestión de la calidad – Requisitos</t>
  </si>
  <si>
    <t xml:space="preserve">Distintivo S
Certificación EarthCheck
NMX-CC-9001-IMNC-2008 ISO 9001:2008 COPANT/ISO 9001:2008 Sistemas de gestión de la calidad – Requisitos
</t>
  </si>
  <si>
    <t>Normas Mexicanas (NMX) aplicables al subsector</t>
  </si>
  <si>
    <r>
      <rPr>
        <b/>
        <sz val="11"/>
        <color theme="1"/>
        <rFont val="Soberana Sans Light"/>
        <family val="3"/>
      </rPr>
      <t>NMX-R-025-SCFI-2012</t>
    </r>
    <r>
      <rPr>
        <sz val="11"/>
        <color theme="1"/>
        <rFont val="Soberana Sans Light"/>
        <family val="3"/>
      </rPr>
      <t xml:space="preserve">
Para la igualdad laboral entre mujeres y hombres (cancela a la NMX-R-025-SCFI-2009) publicada en el diario oficial de la federación el 23 de noviembre de 2012.</t>
    </r>
  </si>
  <si>
    <r>
      <t xml:space="preserve">NMX-R-050-SCFI-2006
</t>
    </r>
    <r>
      <rPr>
        <sz val="11"/>
        <color theme="1"/>
        <rFont val="Soberana Sans Light"/>
        <family val="3"/>
      </rPr>
      <t>Accesibilidad de las personas con discapacidad a espacios  construidos de servicio al público –especificaciones de seguridad.</t>
    </r>
  </si>
  <si>
    <r>
      <rPr>
        <b/>
        <sz val="11"/>
        <color theme="1"/>
        <rFont val="Soberana Sans Light"/>
        <family val="3"/>
      </rPr>
      <t xml:space="preserve">NMX-AA-162-SCFI-2012
</t>
    </r>
    <r>
      <rPr>
        <sz val="11"/>
        <color theme="1"/>
        <rFont val="Soberana Sans Light"/>
        <family val="3"/>
      </rPr>
      <t>Auditoría ambiental – metodología para  realizar auditorías y diagnósticos, ambientales y verificaciones de cumplimiento del plan de acción – determinación del nivel de desempeño ambiental de una empresa – evaluación del desempeño de auditores ambientales.</t>
    </r>
  </si>
  <si>
    <r>
      <rPr>
        <b/>
        <sz val="11"/>
        <color theme="1"/>
        <rFont val="Soberana Sans Light"/>
        <family val="3"/>
      </rPr>
      <t xml:space="preserve">NMX-AA-163-SCFI-2012 
</t>
    </r>
    <r>
      <rPr>
        <sz val="11"/>
        <color theme="1"/>
        <rFont val="Soberana Sans Light"/>
        <family val="3"/>
      </rPr>
      <t>Auditoría ambiental – procedimiento y requisitos para elaborar un reporte de desempeño ambiental de las empresas.</t>
    </r>
  </si>
  <si>
    <r>
      <t xml:space="preserve">NMX-AA-157-SCFI-2012
</t>
    </r>
    <r>
      <rPr>
        <sz val="11"/>
        <color theme="1"/>
        <rFont val="Soberana Sans Light"/>
        <family val="3"/>
      </rPr>
      <t>Requisitos y especificaciones de sustentabilidad para la selección del sitio, diseño, construcción, operación y abandono del sitio de desarrollos inmobiliarios turísticos en la zona costera de la península de Yucatán.</t>
    </r>
  </si>
  <si>
    <r>
      <rPr>
        <b/>
        <sz val="11"/>
        <color theme="1"/>
        <rFont val="Soberana Sans Light"/>
        <family val="3"/>
      </rPr>
      <t xml:space="preserve">NMX-CC-9001-IMNC-2008
ISO 9001:2008 COPANT/ISO 9001:2008
</t>
    </r>
    <r>
      <rPr>
        <sz val="11"/>
        <color theme="1"/>
        <rFont val="Soberana Sans Light"/>
        <family val="3"/>
      </rPr>
      <t xml:space="preserve">Sistemas de gestión de la calidad – Requisitos. </t>
    </r>
  </si>
  <si>
    <r>
      <rPr>
        <b/>
        <sz val="11"/>
        <color theme="1"/>
        <rFont val="Soberana Sans Light"/>
        <family val="3"/>
      </rPr>
      <t xml:space="preserve">ISO 14001:2004; COPANT/ISO 14001:2004; 
NMX-SSA-14001-IMNC-2004
</t>
    </r>
    <r>
      <rPr>
        <sz val="11"/>
        <color theme="1"/>
        <rFont val="Soberana Sans Light"/>
        <family val="3"/>
      </rPr>
      <t>Sistemas de Gestión Ambiental</t>
    </r>
  </si>
  <si>
    <r>
      <rPr>
        <b/>
        <sz val="11"/>
        <color theme="1"/>
        <rFont val="Soberana Sans Light"/>
        <family val="3"/>
      </rPr>
      <t xml:space="preserve">ISO 50001:2011
NMX-J-SSA-50001-ANCE-IMNC-2011
</t>
    </r>
    <r>
      <rPr>
        <sz val="11"/>
        <color theme="1"/>
        <rFont val="Soberana Sans Light"/>
        <family val="3"/>
      </rPr>
      <t>Sistemas de gestión de la energía. Requisitos con orientación para su uso</t>
    </r>
  </si>
  <si>
    <r>
      <rPr>
        <b/>
        <sz val="11"/>
        <color theme="1"/>
        <rFont val="Soberana Sans Light"/>
        <family val="3"/>
      </rPr>
      <t xml:space="preserve">NMX-SAST-26000-IMNC-2011
</t>
    </r>
    <r>
      <rPr>
        <sz val="11"/>
        <color theme="1"/>
        <rFont val="Soberana Sans Light"/>
        <family val="3"/>
      </rPr>
      <t xml:space="preserve">Guía de responsabilidad social (cancela a la NMX-SAST-004-IMNC-2004). </t>
    </r>
  </si>
  <si>
    <t>Lineamientos ambientales para Campos de Golf</t>
  </si>
  <si>
    <t xml:space="preserve">Criterios Globales de Turismo Sostenible </t>
  </si>
  <si>
    <r>
      <rPr>
        <b/>
        <sz val="11"/>
        <color theme="1"/>
        <rFont val="Soberana Sans Light"/>
        <family val="3"/>
      </rPr>
      <t xml:space="preserve">Certificación Earth Check: Sostenibilidad. </t>
    </r>
    <r>
      <rPr>
        <sz val="11"/>
        <color theme="1"/>
        <rFont val="Soberana Sans Light"/>
        <family val="3"/>
      </rPr>
      <t xml:space="preserve">
Programa Estándares Earth Check Internacional</t>
    </r>
  </si>
  <si>
    <r>
      <rPr>
        <b/>
        <sz val="11"/>
        <color theme="1"/>
        <rFont val="Soberana Sans Light"/>
        <family val="3"/>
      </rPr>
      <t xml:space="preserve">Distintivo M
</t>
    </r>
    <r>
      <rPr>
        <sz val="11"/>
        <color theme="1"/>
        <rFont val="Soberana Sans Light"/>
        <family val="3"/>
      </rPr>
      <t>Programa de Calidad Moderniza. Sistema de gestión M. SECTUR</t>
    </r>
  </si>
  <si>
    <r>
      <rPr>
        <b/>
        <sz val="11"/>
        <color theme="1"/>
        <rFont val="Soberana Sans Light"/>
        <family val="3"/>
      </rPr>
      <t xml:space="preserve">Distintivo M II
</t>
    </r>
    <r>
      <rPr>
        <sz val="11"/>
        <color theme="1"/>
        <rFont val="Soberana Sans Light"/>
        <family val="3"/>
      </rPr>
      <t>Programa Moderniza Especializada (M II) SECTUR</t>
    </r>
  </si>
  <si>
    <r>
      <rPr>
        <b/>
        <sz val="11"/>
        <color theme="1"/>
        <rFont val="Soberana Sans Light"/>
        <family val="3"/>
      </rPr>
      <t>Sello de Calidad “Punto Limpio”.</t>
    </r>
    <r>
      <rPr>
        <sz val="11"/>
        <color theme="1"/>
        <rFont val="Soberana Sans Light"/>
        <family val="3"/>
      </rPr>
      <t xml:space="preserve"> SECTUR
Programa Nacional para las Buenas Prácticas para la Calidad Higiénica de las MIPYMES Turísticas Punto Limpio. SECTUR</t>
    </r>
  </si>
  <si>
    <r>
      <rPr>
        <b/>
        <sz val="11"/>
        <color theme="1"/>
        <rFont val="Soberana Sans Light"/>
        <family val="3"/>
      </rPr>
      <t xml:space="preserve">Distintivo S
</t>
    </r>
    <r>
      <rPr>
        <sz val="11"/>
        <color theme="1"/>
        <rFont val="Soberana Sans Light"/>
        <family val="3"/>
      </rPr>
      <t>Programa de Buenas Prácticas de Sustentabilidad. SECTUR</t>
    </r>
  </si>
  <si>
    <r>
      <rPr>
        <b/>
        <sz val="11"/>
        <color theme="1"/>
        <rFont val="Soberana Sans Light"/>
        <family val="3"/>
      </rPr>
      <t xml:space="preserve">Distintivo Empresa Familiarmente Responsable </t>
    </r>
    <r>
      <rPr>
        <sz val="11"/>
        <color theme="1"/>
        <rFont val="Soberana Sans Light"/>
        <family val="3"/>
      </rPr>
      <t>STPS</t>
    </r>
  </si>
  <si>
    <t>MEJORA CONTINUA</t>
  </si>
  <si>
    <t>Certificaciones, Sellos, Distintivos y Reconocimientos aplicables al subsector</t>
  </si>
  <si>
    <t>Marco Legal y Normativo</t>
  </si>
  <si>
    <t>LEY DE DESARROLLO URBANO (LOCAL)- USOS DE SUELO</t>
  </si>
  <si>
    <r>
      <rPr>
        <b/>
        <sz val="11"/>
        <color theme="1"/>
        <rFont val="Soberana Sans Light"/>
        <family val="3"/>
      </rPr>
      <t xml:space="preserve">LEY  DEL SEGURO SOCIAL (IMSS) - </t>
    </r>
    <r>
      <rPr>
        <sz val="11"/>
        <color theme="1"/>
        <rFont val="Soberana Sans Light"/>
        <family val="3"/>
      </rPr>
      <t>Inscripción del registro empresarial ante el Instituto Mexicano del Seguro Social</t>
    </r>
  </si>
  <si>
    <r>
      <rPr>
        <b/>
        <sz val="11"/>
        <color theme="1"/>
        <rFont val="Soberana Sans Light"/>
        <family val="3"/>
      </rPr>
      <t>CÓDIGO FISCAL DE LA FEDERACIÓN  (FEDERAL) -</t>
    </r>
    <r>
      <rPr>
        <sz val="11"/>
        <color theme="1"/>
        <rFont val="Soberana Sans Light"/>
        <family val="3"/>
      </rPr>
      <t xml:space="preserve"> Alta en Secretaria de Hacienda y Crédito Público</t>
    </r>
  </si>
  <si>
    <r>
      <rPr>
        <b/>
        <sz val="11"/>
        <color theme="1"/>
        <rFont val="Soberana Sans Light"/>
        <family val="3"/>
      </rPr>
      <t xml:space="preserve">LEY FEDERAL DE PROTECCIÓN AL CONSUMIDOR. 2012 </t>
    </r>
    <r>
      <rPr>
        <sz val="11"/>
        <color theme="1"/>
        <rFont val="Soberana Sans Light"/>
        <family val="3"/>
      </rPr>
      <t>- Registro del Contrato de Adhesión y Prestación de Servicios ante la PROFECO</t>
    </r>
  </si>
  <si>
    <r>
      <t xml:space="preserve">NOM-001-STPS-2008
</t>
    </r>
    <r>
      <rPr>
        <sz val="11"/>
        <color theme="1"/>
        <rFont val="Soberana Sans Light"/>
        <family val="3"/>
      </rPr>
      <t>Edificios, locales, instalaciones y áreas en los centros de trabajo - Condiciones de seguridad.</t>
    </r>
  </si>
  <si>
    <r>
      <t xml:space="preserve">NOM-11-TUR-2001
</t>
    </r>
    <r>
      <rPr>
        <sz val="11"/>
        <color theme="1"/>
        <rFont val="Soberana Sans Light"/>
        <family val="3"/>
      </rPr>
      <t>Requisitos de seguridad, información y operación que deben cumplir los prestadores de servicios turísticos de Turismo de Aventura</t>
    </r>
  </si>
  <si>
    <r>
      <rPr>
        <b/>
        <sz val="11"/>
        <color theme="1"/>
        <rFont val="Soberana Sans Light"/>
        <family val="3"/>
      </rPr>
      <t xml:space="preserve">NOM-004-STPS-1999
</t>
    </r>
    <r>
      <rPr>
        <sz val="11"/>
        <color theme="1"/>
        <rFont val="Soberana Sans Light"/>
        <family val="3"/>
      </rPr>
      <t xml:space="preserve">Sistemas de protección y dispositivos de seguridad en la maquinaria y equipo que se utilice en los centros de trabajo. </t>
    </r>
  </si>
  <si>
    <r>
      <rPr>
        <b/>
        <sz val="11"/>
        <color theme="1"/>
        <rFont val="Soberana Sans Light"/>
        <family val="3"/>
      </rPr>
      <t xml:space="preserve">NOM-017-STPS-2008
</t>
    </r>
    <r>
      <rPr>
        <sz val="11"/>
        <color theme="1"/>
        <rFont val="Soberana Sans Light"/>
        <family val="3"/>
      </rPr>
      <t xml:space="preserve">Equipo de protección personal-Selección, uso y manejo en los centros de trabajo. </t>
    </r>
  </si>
  <si>
    <r>
      <rPr>
        <b/>
        <sz val="11"/>
        <color theme="1"/>
        <rFont val="Soberana Sans Light"/>
        <family val="3"/>
      </rPr>
      <t xml:space="preserve">NOM-019-STPS-2011
</t>
    </r>
    <r>
      <rPr>
        <sz val="11"/>
        <color theme="1"/>
        <rFont val="Soberana Sans Light"/>
        <family val="3"/>
      </rPr>
      <t>Constitución, Integración, Organización y Funcionamiento de las Comisiones de Seguridad e Higiene.</t>
    </r>
  </si>
  <si>
    <r>
      <rPr>
        <b/>
        <sz val="11"/>
        <color theme="1"/>
        <rFont val="Soberana Sans Light"/>
        <family val="3"/>
      </rPr>
      <t xml:space="preserve">NOM-020-STPS-2011
</t>
    </r>
    <r>
      <rPr>
        <sz val="11"/>
        <color theme="1"/>
        <rFont val="Soberana Sans Light"/>
        <family val="3"/>
      </rPr>
      <t xml:space="preserve">Recipientes sujetos a presión, recipientes criogénicos y generadores de vapor o calderas - Funcionamiento - Condiciones de Seguridad. </t>
    </r>
  </si>
  <si>
    <r>
      <rPr>
        <b/>
        <sz val="11"/>
        <color theme="1"/>
        <rFont val="Soberana Sans Light"/>
        <family val="3"/>
      </rPr>
      <t xml:space="preserve">NOM-021-STPS-1994
</t>
    </r>
    <r>
      <rPr>
        <sz val="11"/>
        <color theme="1"/>
        <rFont val="Soberana Sans Light"/>
        <family val="3"/>
      </rPr>
      <t xml:space="preserve">Relativa a los requerimientos y características de los informes de los riesgos de trabajo que ocurran, para integrar las estadísticas. </t>
    </r>
  </si>
  <si>
    <r>
      <rPr>
        <b/>
        <sz val="11"/>
        <color theme="1"/>
        <rFont val="Soberana Sans Light"/>
        <family val="3"/>
      </rPr>
      <t xml:space="preserve">NOM-022-STPS-2008
</t>
    </r>
    <r>
      <rPr>
        <sz val="11"/>
        <color theme="1"/>
        <rFont val="Soberana Sans Light"/>
        <family val="3"/>
      </rPr>
      <t>Electricidad estática en los centros de trabajo.- Condiciones de Seguridad e Higiene</t>
    </r>
  </si>
  <si>
    <r>
      <rPr>
        <b/>
        <sz val="11"/>
        <color theme="1"/>
        <rFont val="Soberana Sans Light"/>
        <family val="3"/>
      </rPr>
      <t xml:space="preserve">NOM-025-STPS-2008
</t>
    </r>
    <r>
      <rPr>
        <sz val="11"/>
        <color theme="1"/>
        <rFont val="Soberana Sans Light"/>
        <family val="3"/>
      </rPr>
      <t xml:space="preserve">Condiciones de iluminación en los centros de trabajo. </t>
    </r>
  </si>
  <si>
    <r>
      <t xml:space="preserve">NOM-026-STPS-2008
</t>
    </r>
    <r>
      <rPr>
        <sz val="11"/>
        <color theme="1"/>
        <rFont val="Soberana Sans Light"/>
        <family val="3"/>
      </rPr>
      <t>Colores y señales de seguridad e higiene, e identificación de riesgos por fluidos conducidos en tuberías.</t>
    </r>
  </si>
  <si>
    <r>
      <rPr>
        <b/>
        <sz val="11"/>
        <color theme="1"/>
        <rFont val="Soberana Sans Light"/>
        <family val="3"/>
      </rPr>
      <t xml:space="preserve">NOM-029-STPS-2011
</t>
    </r>
    <r>
      <rPr>
        <sz val="11"/>
        <color theme="1"/>
        <rFont val="Soberana Sans Light"/>
        <family val="3"/>
      </rPr>
      <t>Mantenimiento de las instalaciones eléctricas en los centros de trabajo.- Condiciones de seguridad.</t>
    </r>
  </si>
  <si>
    <r>
      <rPr>
        <b/>
        <sz val="11"/>
        <color theme="1"/>
        <rFont val="Soberana Sans Light"/>
        <family val="3"/>
      </rPr>
      <t xml:space="preserve">NOM-030-STPS-2009
</t>
    </r>
    <r>
      <rPr>
        <sz val="11"/>
        <color theme="1"/>
        <rFont val="Soberana Sans Light"/>
        <family val="3"/>
      </rPr>
      <t>Servicios preventivos de seguridad y salud en el trabajo-funciones y actividades.</t>
    </r>
  </si>
  <si>
    <t>Es requisito indispensable contar con el marco normativo y legal del subsector de Golf para integrarse al Sistema Nacional de Certificación Turística.</t>
  </si>
  <si>
    <t>Documentado y publicado</t>
  </si>
  <si>
    <t>TABLA DE PUNTUACIÓN</t>
  </si>
  <si>
    <t>Factores</t>
  </si>
  <si>
    <t>Peso Porcentual</t>
  </si>
  <si>
    <t>Puntos asignados</t>
  </si>
  <si>
    <t>Gobernanza de la organización</t>
  </si>
  <si>
    <t>Derechos humanos de los trabajadores</t>
  </si>
  <si>
    <t>Prácticas laborales</t>
  </si>
  <si>
    <t>Inversionistas</t>
  </si>
  <si>
    <t>Proveedores</t>
  </si>
  <si>
    <t>Clientes</t>
  </si>
  <si>
    <t>Prácticas comerciales</t>
  </si>
  <si>
    <t>Competencia</t>
  </si>
  <si>
    <t>Autoridad y legalidad</t>
  </si>
  <si>
    <t>Medio ambiente</t>
  </si>
  <si>
    <t>Desarrollo social y  comunitario</t>
  </si>
  <si>
    <t>Suma</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</si>
  <si>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</si>
  <si>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</si>
  <si>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</si>
  <si>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</si>
  <si>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</si>
  <si>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</si>
  <si>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</si>
  <si>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</si>
  <si>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</si>
  <si>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</si>
  <si>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</si>
  <si>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</si>
  <si>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</si>
  <si>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</si>
  <si>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</si>
  <si>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</si>
  <si>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t>PORCENTAJE MÍNIMO DE CADA UNO DE LOS FACTORES DE LA GUÍA DE EVALUACIÓN DEL SUBSECTOR HOSPEDAJE</t>
  </si>
  <si>
    <t>Prestador de servicios turísticos</t>
  </si>
  <si>
    <t>Factores evaluados</t>
  </si>
  <si>
    <t>Puntaje máximo a alcanzar</t>
  </si>
  <si>
    <t>Puntaje obtenido</t>
  </si>
  <si>
    <t>% equivalente al puntaje obtenido</t>
  </si>
  <si>
    <t xml:space="preserve">Derechos humanos </t>
  </si>
  <si>
    <t>Desarrollo social y comunitario</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</si>
  <si>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</si>
  <si>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</si>
  <si>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</si>
  <si>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</si>
  <si>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</si>
  <si>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No existe la evidencia</t>
  </si>
  <si>
    <t>Documentado</t>
  </si>
  <si>
    <t>Documentado e implementado</t>
  </si>
  <si>
    <t>Medición de resultados</t>
  </si>
  <si>
    <t>Descripción del criterio</t>
  </si>
  <si>
    <t>Peso porcentual</t>
  </si>
  <si>
    <t>El Sujeto cuenta sólo con un documento que le permitirá en un futuro realizar de manera sistemática sus actividades, pero aún no lo difunde al interior de su organización.</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</si>
  <si>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</si>
  <si>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</si>
  <si>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</si>
  <si>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</si>
  <si>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</si>
  <si>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</si>
  <si>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</si>
  <si>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</si>
  <si>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</si>
  <si>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</si>
  <si>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</si>
  <si>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</si>
  <si>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</si>
  <si>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RFC</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</si>
  <si>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</si>
  <si>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</si>
  <si>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</si>
  <si>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</si>
  <si>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</si>
  <si>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</si>
  <si>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</si>
  <si>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</si>
  <si>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</si>
  <si>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</si>
  <si>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</si>
  <si>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</si>
  <si>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</si>
  <si>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</si>
  <si>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</si>
  <si>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</si>
  <si>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</si>
  <si>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</si>
  <si>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</si>
  <si>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</si>
  <si>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</si>
  <si>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</si>
  <si>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</si>
  <si>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</si>
  <si>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</si>
  <si>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</si>
  <si>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</si>
  <si>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Está legalmente constituido</t>
  </si>
  <si>
    <t>Cuenta con alta en la Secretaría de Hacienda y Crédito Público</t>
  </si>
  <si>
    <t>Cumple con las medidas de protección civil requeridas</t>
  </si>
  <si>
    <t>Aplica la normatividad laboral vigente</t>
  </si>
  <si>
    <t>Cuenta con inscripción del registro empresarial ante el IMSS</t>
  </si>
  <si>
    <t>Cumple con la normatividad medio ambiental vigente</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</si>
  <si>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</si>
  <si>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</si>
  <si>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</si>
  <si>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</si>
  <si>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</si>
  <si>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</si>
  <si>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</si>
  <si>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</si>
  <si>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</si>
  <si>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</si>
  <si>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IM</t>
  </si>
  <si>
    <t>Implementado no documentado</t>
  </si>
  <si>
    <t xml:space="preserve">TOTAL </t>
  </si>
  <si>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30%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</si>
  <si>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40%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</si>
  <si>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50%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</si>
  <si>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60%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</si>
  <si>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70%</t>
    </r>
    <r>
      <rPr>
        <sz val="12"/>
        <color theme="1"/>
        <rFont val="Arial"/>
        <family val="2"/>
      </rPr>
      <t xml:space="preserve"> de cumplimiento en cada uno de los factores.</t>
    </r>
  </si>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</sst>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7">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sz val="8"/>
      <color rgb="FF000000"/>
      <name val="Soberana Sans Light"/>
      <family val="3"/>
    </font>
    <font>
      <b/>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sz val="8"/>
      <color theme="1"/>
      <name val="Arial"/>
      <family val="2"/>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sz val="16"/>
      <name val="Soberana Sans Light"/>
      <family val="3"/>
    </font>
    <font>
      <sz val="16"/>
      <color theme="1"/>
      <name val="Soberana Sans Light"/>
      <family val="3"/>
    </font>
    <font>
      <b/>
      <sz val="20"/>
      <name val="Soberana Sans Light"/>
      <family val="3"/>
    </font>
    <font>
      <sz val="8"/>
      <color theme="1"/>
      <name val="Soberana Sans Light"/>
      <family val="3"/>
    </font>
    <font>
      <b/>
      <sz val="11"/>
      <color rgb="FF000000"/>
      <name val="Soberana Sans"/>
      <family val="3"/>
    </font>
    <font>
      <b/>
      <sz val="9"/>
      <color theme="1"/>
      <name val="Soberana Sans"/>
      <family val="3"/>
    </font>
    <font>
      <b/>
      <sz val="10"/>
      <color theme="1"/>
      <name val="Soberana Sans"/>
      <family val="3"/>
    </font>
    <font>
      <b/>
      <sz val="22"/>
      <color theme="1"/>
      <name val="Soberana Sans Ultra"/>
      <family val="3"/>
    </font>
    <font>
      <b/>
      <sz val="11"/>
      <color theme="1"/>
      <name val="Soberana Sans"/>
      <family val="3"/>
    </font>
    <font>
      <b/>
      <sz val="12"/>
      <color theme="0"/>
      <name val="Soberana Sans"/>
      <family val="3"/>
    </font>
    <font>
      <sz val="11"/>
      <color theme="0"/>
      <name val="Soberana Sans Light"/>
      <family val="3"/>
    </font>
    <font>
      <b/>
      <sz val="14"/>
      <color theme="1"/>
      <name val="Calibri"/>
      <family val="2"/>
      <scheme val="minor"/>
    </font>
    <font>
      <b/>
      <i/>
      <sz val="9"/>
      <color rgb="FFFFFFFF"/>
      <name val="Soberana Sans Light"/>
      <family val="3"/>
    </font>
    <font>
      <b/>
      <sz val="9"/>
      <color rgb="FF000000"/>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sz val="9"/>
      <color rgb="FFFFFFFF"/>
      <name val="Soberana Sans Light"/>
      <family val="3"/>
    </font>
    <font>
      <sz val="11"/>
      <color theme="1"/>
      <name val="Soberana Sanz light"/>
    </font>
    <font>
      <b/>
      <sz val="11"/>
      <color theme="1"/>
      <name val="Soberana Sanz light"/>
    </font>
    <font>
      <i/>
      <sz val="11"/>
      <color theme="1"/>
      <name val="Soberana Sanz light"/>
    </font>
    <font>
      <b/>
      <sz val="12"/>
      <name val="Soberana Titular"/>
      <family val="3"/>
    </font>
    <font>
      <b/>
      <sz val="11"/>
      <name val="Soberana Sans"/>
      <family val="3"/>
    </font>
    <font>
      <sz val="11"/>
      <name val="Soberana Sans"/>
      <family val="3"/>
    </font>
    <font>
      <sz val="7"/>
      <color rgb="FF000000"/>
      <name val="Arial"/>
      <family val="2"/>
    </font>
    <font>
      <sz val="11"/>
      <color theme="1"/>
      <name val="Soberana Sans"/>
      <family val="3"/>
    </font>
    <font>
      <sz val="10"/>
      <color theme="1"/>
      <name val="Soberana Sans"/>
      <family val="3"/>
    </font>
    <font>
      <sz val="11"/>
      <color rgb="FF000000"/>
      <name val="Soberana Sans"/>
      <family val="3"/>
    </font>
    <font>
      <sz val="11"/>
      <color theme="0"/>
      <name val="Soberana Sans"/>
      <family val="3"/>
    </font>
    <font>
      <i/>
      <sz val="11"/>
      <color theme="1"/>
      <name val="Soberana Sans"/>
      <family val="3"/>
    </font>
    <font>
      <b/>
      <sz val="11"/>
      <color rgb="FF595959"/>
      <name val="Soberana Sans"/>
      <family val="3"/>
    </font>
    <font>
      <sz val="10"/>
      <color theme="1"/>
      <name val="Arial"/>
      <family val="2"/>
    </font>
    <font>
      <b/>
      <sz val="14"/>
      <color theme="1"/>
      <name val="Soberana Sans Light"/>
      <family val="3"/>
    </font>
    <font>
      <sz val="14"/>
      <color theme="1"/>
      <name val="Soberana Sans Light"/>
      <family val="3"/>
    </font>
  </fonts>
  <fills count="13">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9BBB59"/>
        <bgColor indexed="64"/>
      </patternFill>
    </fill>
    <fill>
      <patternFill patternType="solid">
        <fgColor rgb="FFEAF1DD"/>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9"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style="medium">
        <color theme="9" tint="-0.24994659260841701"/>
      </left>
      <right style="medium">
        <color theme="9" tint="-0.24994659260841701"/>
      </right>
      <top style="medium">
        <color theme="9" tint="-0.24994659260841701"/>
      </top>
      <bottom/>
      <diagonal/>
    </border>
    <border>
      <left style="medium">
        <color theme="9" tint="-0.24994659260841701"/>
      </left>
      <right style="medium">
        <color theme="9" tint="-0.24994659260841701"/>
      </right>
      <top/>
      <bottom/>
      <diagonal/>
    </border>
    <border>
      <left style="medium">
        <color theme="9" tint="-0.24994659260841701"/>
      </left>
      <right style="medium">
        <color theme="9" tint="-0.24994659260841701"/>
      </right>
      <top/>
      <bottom style="medium">
        <color theme="9" tint="-0.24994659260841701"/>
      </bottom>
      <diagonal/>
    </border>
  </borders>
  <cellStyleXfs count="1">
    <xf numFmtId="0" fontId="0" fillId="0" borderId="0"/>
  </cellStyleXfs>
  <cellXfs count="297">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3" fillId="3" borderId="1" xfId="0" applyFont="1" applyFill="1" applyBorder="1" applyAlignment="1">
      <alignment horizontal="center" vertical="center"/>
    </xf>
    <xf numFmtId="0" fontId="10" fillId="0" borderId="0" xfId="0" applyFont="1" applyAlignment="1">
      <alignment horizontal="center"/>
    </xf>
    <xf numFmtId="0" fontId="10" fillId="0" borderId="0" xfId="0" applyFont="1" applyAlignment="1">
      <alignment horizontal="center" vertical="center"/>
    </xf>
    <xf numFmtId="0" fontId="10" fillId="0" borderId="0" xfId="0" applyFont="1"/>
    <xf numFmtId="0" fontId="9"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5" fillId="0" borderId="0" xfId="0" applyFont="1" applyFill="1" applyAlignment="1">
      <alignment horizontal="center" vertical="center" textRotation="90"/>
    </xf>
    <xf numFmtId="0" fontId="14" fillId="0" borderId="1" xfId="0" applyFont="1" applyFill="1" applyBorder="1" applyAlignment="1">
      <alignment vertical="center" textRotation="90"/>
    </xf>
    <xf numFmtId="0" fontId="22" fillId="0" borderId="1" xfId="0" applyFont="1" applyFill="1" applyBorder="1" applyAlignment="1">
      <alignment horizontal="center" vertical="center" wrapText="1"/>
    </xf>
    <xf numFmtId="0" fontId="8" fillId="0" borderId="0" xfId="0" applyFont="1" applyFill="1" applyBorder="1" applyAlignment="1">
      <alignment vertical="center"/>
    </xf>
    <xf numFmtId="0" fontId="0" fillId="0" borderId="0" xfId="0" applyFill="1" applyBorder="1"/>
    <xf numFmtId="0" fontId="9" fillId="0" borderId="0" xfId="0" applyFont="1"/>
    <xf numFmtId="0" fontId="23" fillId="0" borderId="0" xfId="0" applyFont="1"/>
    <xf numFmtId="0" fontId="4" fillId="0" borderId="0" xfId="0" applyFont="1"/>
    <xf numFmtId="0" fontId="9" fillId="0" borderId="1" xfId="0" applyFont="1" applyBorder="1" applyAlignment="1">
      <alignment horizontal="center" vertical="center"/>
    </xf>
    <xf numFmtId="0" fontId="9" fillId="0" borderId="0" xfId="0" applyFont="1" applyBorder="1"/>
    <xf numFmtId="0" fontId="24" fillId="0" borderId="0" xfId="0" applyFont="1" applyFill="1" applyBorder="1" applyAlignment="1">
      <alignment horizontal="center" vertical="center"/>
    </xf>
    <xf numFmtId="0" fontId="9" fillId="0" borderId="1" xfId="0" applyFont="1" applyBorder="1" applyAlignment="1">
      <alignment horizontal="center" vertical="center" wrapText="1"/>
    </xf>
    <xf numFmtId="0" fontId="23" fillId="0" borderId="0" xfId="0" applyFont="1" applyAlignment="1">
      <alignment horizontal="center" vertical="center"/>
    </xf>
    <xf numFmtId="0" fontId="29"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xf>
    <xf numFmtId="0" fontId="5"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4" fillId="0" borderId="1" xfId="0" applyFont="1" applyFill="1" applyBorder="1" applyAlignment="1">
      <alignment horizontal="center" vertical="center" textRotation="90"/>
    </xf>
    <xf numFmtId="0" fontId="7" fillId="3" borderId="1" xfId="0" applyFont="1" applyFill="1" applyBorder="1" applyAlignment="1">
      <alignment horizontal="center" vertical="center"/>
    </xf>
    <xf numFmtId="0" fontId="14" fillId="0" borderId="1" xfId="0" applyFont="1" applyFill="1" applyBorder="1" applyAlignment="1">
      <alignment horizontal="center" vertical="center" textRotation="90" wrapText="1"/>
    </xf>
    <xf numFmtId="0" fontId="31" fillId="0" borderId="1" xfId="0" applyFont="1" applyFill="1" applyBorder="1" applyAlignment="1">
      <alignment horizontal="center" vertical="center"/>
    </xf>
    <xf numFmtId="0" fontId="22" fillId="0" borderId="1" xfId="0" applyFont="1" applyBorder="1" applyAlignment="1">
      <alignment horizontal="center" vertical="center" wrapText="1"/>
    </xf>
    <xf numFmtId="0" fontId="14" fillId="3" borderId="1" xfId="0" applyFont="1" applyFill="1" applyBorder="1" applyAlignment="1">
      <alignment vertical="center" textRotation="90"/>
    </xf>
    <xf numFmtId="0" fontId="14" fillId="3" borderId="1" xfId="0" applyFont="1" applyFill="1" applyBorder="1" applyAlignment="1">
      <alignment horizontal="center" vertical="center" textRotation="90"/>
    </xf>
    <xf numFmtId="0" fontId="32" fillId="0" borderId="1" xfId="0" applyFont="1" applyBorder="1" applyAlignment="1">
      <alignment horizontal="center" vertical="center" wrapText="1"/>
    </xf>
    <xf numFmtId="0" fontId="32"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3" borderId="1" xfId="0" applyFont="1" applyFill="1" applyBorder="1" applyAlignment="1">
      <alignment horizontal="center" vertical="center"/>
    </xf>
    <xf numFmtId="0" fontId="14" fillId="0" borderId="1" xfId="0" applyFont="1" applyFill="1" applyBorder="1" applyAlignment="1">
      <alignment horizontal="center" vertical="center" textRotation="90"/>
    </xf>
    <xf numFmtId="0" fontId="14" fillId="3" borderId="1" xfId="0" applyFont="1" applyFill="1" applyBorder="1" applyAlignment="1">
      <alignment horizontal="center" vertical="center" textRotation="90"/>
    </xf>
    <xf numFmtId="0" fontId="8" fillId="2" borderId="1" xfId="0" applyFont="1" applyFill="1" applyBorder="1" applyAlignment="1">
      <alignment horizontal="center" vertical="center"/>
    </xf>
    <xf numFmtId="0" fontId="8"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4" fillId="0" borderId="1" xfId="0" applyFont="1" applyFill="1" applyBorder="1" applyAlignment="1">
      <alignment horizontal="center" vertical="center" textRotation="90"/>
    </xf>
    <xf numFmtId="0" fontId="9" fillId="0" borderId="1" xfId="0" applyFont="1" applyBorder="1" applyAlignment="1">
      <alignment horizontal="center" vertical="center" wrapText="1"/>
    </xf>
    <xf numFmtId="0" fontId="34" fillId="2" borderId="2" xfId="0" applyFont="1" applyFill="1" applyBorder="1" applyAlignment="1">
      <alignment horizontal="center" vertical="center"/>
    </xf>
    <xf numFmtId="0" fontId="36" fillId="0" borderId="1" xfId="0" applyFont="1" applyBorder="1" applyAlignment="1">
      <alignment horizontal="center" vertical="center"/>
    </xf>
    <xf numFmtId="0" fontId="37" fillId="2" borderId="1" xfId="0" applyFont="1" applyFill="1" applyBorder="1" applyAlignment="1">
      <alignment horizontal="center" vertical="center" wrapText="1"/>
    </xf>
    <xf numFmtId="0" fontId="33" fillId="2" borderId="1" xfId="0" applyFont="1" applyFill="1" applyBorder="1" applyAlignment="1">
      <alignment horizontal="center" vertical="center" wrapText="1"/>
    </xf>
    <xf numFmtId="0" fontId="33" fillId="2" borderId="1" xfId="0" applyFont="1" applyFill="1" applyBorder="1" applyAlignment="1">
      <alignment horizontal="center" vertical="center"/>
    </xf>
    <xf numFmtId="0" fontId="38" fillId="3" borderId="1" xfId="0" applyFont="1" applyFill="1" applyBorder="1" applyAlignment="1">
      <alignment horizontal="center" vertical="center"/>
    </xf>
    <xf numFmtId="0" fontId="13" fillId="3" borderId="1" xfId="0" applyFont="1" applyFill="1" applyBorder="1" applyAlignment="1">
      <alignment horizontal="center" vertical="center"/>
    </xf>
    <xf numFmtId="0" fontId="39" fillId="3" borderId="1" xfId="0" applyFont="1" applyFill="1" applyBorder="1" applyAlignment="1">
      <alignment horizontal="center" vertical="center" wrapText="1"/>
    </xf>
    <xf numFmtId="0" fontId="0" fillId="0" borderId="16" xfId="0" applyBorder="1" applyAlignment="1">
      <alignment horizontal="center"/>
    </xf>
    <xf numFmtId="0" fontId="41" fillId="7" borderId="17" xfId="0" applyFont="1" applyFill="1" applyBorder="1" applyAlignment="1">
      <alignment horizontal="center" vertical="center"/>
    </xf>
    <xf numFmtId="0" fontId="41" fillId="7" borderId="18" xfId="0" applyFont="1" applyFill="1" applyBorder="1" applyAlignment="1">
      <alignment horizontal="center" vertical="center" wrapText="1"/>
    </xf>
    <xf numFmtId="0" fontId="41" fillId="7" borderId="19" xfId="0" applyFont="1" applyFill="1" applyBorder="1" applyAlignment="1">
      <alignment horizontal="center" vertical="center" wrapText="1"/>
    </xf>
    <xf numFmtId="0" fontId="7" fillId="8" borderId="20" xfId="0" applyFont="1" applyFill="1" applyBorder="1" applyAlignment="1">
      <alignment vertical="center"/>
    </xf>
    <xf numFmtId="9" fontId="15" fillId="8" borderId="21" xfId="0" applyNumberFormat="1" applyFont="1" applyFill="1" applyBorder="1" applyAlignment="1">
      <alignment horizontal="center" vertical="center" wrapText="1"/>
    </xf>
    <xf numFmtId="0" fontId="5" fillId="8" borderId="20" xfId="0" applyFont="1" applyFill="1" applyBorder="1" applyAlignment="1">
      <alignment horizontal="center" vertical="center"/>
    </xf>
    <xf numFmtId="0" fontId="7" fillId="0" borderId="20" xfId="0" applyFont="1" applyBorder="1" applyAlignment="1">
      <alignment vertical="center"/>
    </xf>
    <xf numFmtId="9" fontId="15" fillId="0" borderId="21" xfId="0" applyNumberFormat="1" applyFont="1" applyBorder="1" applyAlignment="1">
      <alignment horizontal="center" vertical="center" wrapText="1"/>
    </xf>
    <xf numFmtId="0" fontId="7" fillId="8" borderId="20" xfId="0" applyFont="1" applyFill="1" applyBorder="1" applyAlignment="1">
      <alignment horizontal="center" vertical="center"/>
    </xf>
    <xf numFmtId="9" fontId="42" fillId="8" borderId="21" xfId="0" applyNumberFormat="1" applyFont="1" applyFill="1" applyBorder="1" applyAlignment="1">
      <alignment horizontal="center" vertical="center" wrapText="1"/>
    </xf>
    <xf numFmtId="0" fontId="43" fillId="7" borderId="17" xfId="0" applyFont="1" applyFill="1" applyBorder="1" applyAlignment="1">
      <alignment horizontal="center" vertical="center" wrapText="1"/>
    </xf>
    <xf numFmtId="0" fontId="43" fillId="7" borderId="18" xfId="0" applyFont="1" applyFill="1" applyBorder="1" applyAlignment="1">
      <alignment horizontal="center" vertical="center" wrapText="1"/>
    </xf>
    <xf numFmtId="0" fontId="43" fillId="7" borderId="19" xfId="0" applyFont="1" applyFill="1" applyBorder="1" applyAlignment="1">
      <alignment horizontal="center" vertical="center" wrapText="1"/>
    </xf>
    <xf numFmtId="0" fontId="16" fillId="8" borderId="20"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6"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46" fillId="0" borderId="0" xfId="0" applyFont="1" applyAlignment="1">
      <alignment horizontal="justify" vertical="center"/>
    </xf>
    <xf numFmtId="0" fontId="46" fillId="0" borderId="0" xfId="0" applyFont="1" applyAlignment="1">
      <alignment horizontal="left" vertical="justify"/>
    </xf>
    <xf numFmtId="0" fontId="0" fillId="0" borderId="0" xfId="0" applyAlignment="1">
      <alignment horizontal="left" vertical="justify"/>
    </xf>
    <xf numFmtId="0" fontId="44" fillId="0" borderId="0" xfId="0" applyFont="1" applyAlignment="1">
      <alignment horizontal="left" vertical="center"/>
    </xf>
    <xf numFmtId="0" fontId="0" fillId="0" borderId="0" xfId="0" applyAlignment="1">
      <alignment horizontal="left"/>
    </xf>
    <xf numFmtId="0" fontId="50" fillId="10" borderId="22" xfId="0" applyFont="1" applyFill="1" applyBorder="1" applyAlignment="1">
      <alignment horizontal="center" vertical="center" wrapText="1"/>
    </xf>
    <xf numFmtId="0" fontId="42" fillId="11" borderId="22" xfId="0" applyFont="1" applyFill="1" applyBorder="1" applyAlignment="1">
      <alignment vertical="center" wrapText="1"/>
    </xf>
    <xf numFmtId="0" fontId="15" fillId="11" borderId="22" xfId="0" applyFont="1" applyFill="1" applyBorder="1" applyAlignment="1">
      <alignment horizontal="center" vertical="center" wrapText="1"/>
    </xf>
    <xf numFmtId="9" fontId="15" fillId="11" borderId="22" xfId="0" applyNumberFormat="1" applyFont="1" applyFill="1" applyBorder="1" applyAlignment="1">
      <alignment horizontal="center" vertical="center" wrapText="1"/>
    </xf>
    <xf numFmtId="0" fontId="42" fillId="0" borderId="22" xfId="0" applyFont="1" applyBorder="1" applyAlignment="1">
      <alignment vertical="center" wrapText="1"/>
    </xf>
    <xf numFmtId="0" fontId="15" fillId="0" borderId="22" xfId="0" applyFont="1" applyBorder="1" applyAlignment="1">
      <alignment horizontal="center" vertical="center" wrapText="1"/>
    </xf>
    <xf numFmtId="9" fontId="15" fillId="9" borderId="22" xfId="0" applyNumberFormat="1" applyFont="1" applyFill="1" applyBorder="1" applyAlignment="1">
      <alignment horizontal="center" vertical="center" wrapText="1"/>
    </xf>
    <xf numFmtId="0" fontId="42" fillId="9" borderId="22" xfId="0" applyFont="1" applyFill="1" applyBorder="1" applyAlignment="1">
      <alignment vertical="center" wrapText="1"/>
    </xf>
    <xf numFmtId="0" fontId="15" fillId="9" borderId="22" xfId="0" applyFont="1" applyFill="1" applyBorder="1" applyAlignment="1">
      <alignment horizontal="center" vertical="center" wrapText="1"/>
    </xf>
    <xf numFmtId="0" fontId="5" fillId="0" borderId="20" xfId="0" applyFont="1" applyBorder="1" applyAlignment="1">
      <alignment horizontal="center" vertical="center"/>
    </xf>
    <xf numFmtId="164" fontId="0" fillId="0" borderId="0" xfId="0" applyNumberFormat="1"/>
    <xf numFmtId="0" fontId="51" fillId="0" borderId="0" xfId="0" applyFont="1"/>
    <xf numFmtId="0" fontId="52" fillId="0" borderId="0" xfId="0" applyFont="1" applyAlignment="1">
      <alignment horizontal="center"/>
    </xf>
    <xf numFmtId="0" fontId="51" fillId="0" borderId="0" xfId="0" applyFont="1" applyAlignment="1">
      <alignment horizontal="left"/>
    </xf>
    <xf numFmtId="0" fontId="52" fillId="0" borderId="0" xfId="0" applyFont="1"/>
    <xf numFmtId="9" fontId="51" fillId="0" borderId="1" xfId="0" applyNumberFormat="1" applyFont="1" applyBorder="1" applyAlignment="1">
      <alignment horizontal="center" vertical="center" wrapText="1"/>
    </xf>
    <xf numFmtId="0" fontId="52" fillId="4" borderId="1" xfId="0" applyFont="1" applyFill="1" applyBorder="1" applyAlignment="1">
      <alignment horizontal="center" vertical="center" wrapText="1"/>
    </xf>
    <xf numFmtId="0" fontId="1" fillId="9" borderId="0" xfId="0" applyFont="1" applyFill="1" applyAlignment="1">
      <alignment vertical="center"/>
    </xf>
    <xf numFmtId="0" fontId="0" fillId="9" borderId="0" xfId="0" applyFont="1" applyFill="1" applyAlignment="1">
      <alignment vertical="center"/>
    </xf>
    <xf numFmtId="0" fontId="2" fillId="9" borderId="0" xfId="0" applyFont="1" applyFill="1"/>
    <xf numFmtId="0" fontId="0" fillId="9" borderId="0" xfId="0" applyFill="1"/>
    <xf numFmtId="0" fontId="2" fillId="9" borderId="0" xfId="0" applyFont="1" applyFill="1" applyAlignment="1">
      <alignment wrapText="1"/>
    </xf>
    <xf numFmtId="0" fontId="3" fillId="9" borderId="0" xfId="0" applyFont="1" applyFill="1" applyAlignment="1">
      <alignment wrapText="1"/>
    </xf>
    <xf numFmtId="0" fontId="57" fillId="0" borderId="0" xfId="0" applyFont="1" applyBorder="1" applyAlignment="1">
      <alignment vertical="center" wrapText="1"/>
    </xf>
    <xf numFmtId="0" fontId="58" fillId="9" borderId="1" xfId="0" applyFont="1" applyFill="1" applyBorder="1"/>
    <xf numFmtId="0" fontId="58" fillId="9" borderId="1" xfId="0" applyFont="1" applyFill="1" applyBorder="1" applyAlignment="1"/>
    <xf numFmtId="0" fontId="59" fillId="9" borderId="0" xfId="0" applyFont="1" applyFill="1"/>
    <xf numFmtId="0" fontId="59" fillId="9" borderId="0" xfId="0" applyFont="1" applyFill="1" applyAlignment="1">
      <alignment wrapText="1"/>
    </xf>
    <xf numFmtId="0" fontId="60" fillId="0" borderId="1" xfId="0" applyFont="1" applyBorder="1" applyAlignment="1">
      <alignment horizontal="left" vertical="center"/>
    </xf>
    <xf numFmtId="0" fontId="58" fillId="9" borderId="1" xfId="0" applyFont="1" applyFill="1" applyBorder="1" applyAlignment="1">
      <alignment vertical="center"/>
    </xf>
    <xf numFmtId="0" fontId="60" fillId="0" borderId="1" xfId="0" applyFont="1" applyBorder="1" applyAlignment="1">
      <alignment horizontal="center" vertical="center"/>
    </xf>
    <xf numFmtId="0" fontId="60" fillId="0" borderId="1" xfId="0" applyFont="1" applyBorder="1" applyAlignment="1">
      <alignment horizontal="center" vertical="center" wrapText="1"/>
    </xf>
    <xf numFmtId="0" fontId="60" fillId="0" borderId="1" xfId="0" applyFont="1" applyBorder="1" applyAlignment="1">
      <alignment vertical="center" wrapText="1"/>
    </xf>
    <xf numFmtId="0" fontId="60" fillId="0" borderId="2" xfId="0" applyFont="1" applyBorder="1" applyAlignment="1">
      <alignment horizontal="center" vertical="center"/>
    </xf>
    <xf numFmtId="0" fontId="60" fillId="0" borderId="2" xfId="0" applyFont="1" applyBorder="1" applyAlignment="1">
      <alignment horizontal="center" vertical="center" wrapText="1"/>
    </xf>
    <xf numFmtId="0" fontId="58" fillId="9" borderId="1" xfId="0" applyFont="1" applyFill="1" applyBorder="1" applyAlignment="1">
      <alignment horizontal="center" vertical="center" wrapText="1"/>
    </xf>
    <xf numFmtId="0" fontId="58" fillId="9" borderId="1" xfId="0" applyFont="1" applyFill="1" applyBorder="1" applyAlignment="1">
      <alignment wrapText="1"/>
    </xf>
    <xf numFmtId="0" fontId="55" fillId="9" borderId="1" xfId="0" applyFont="1" applyFill="1" applyBorder="1" applyAlignment="1">
      <alignment vertical="center" wrapText="1"/>
    </xf>
    <xf numFmtId="0" fontId="55" fillId="9" borderId="0" xfId="0" applyFont="1" applyFill="1" applyBorder="1" applyAlignment="1">
      <alignment horizontal="left" vertical="center" wrapText="1"/>
    </xf>
    <xf numFmtId="0" fontId="58" fillId="9" borderId="0" xfId="0" applyFont="1" applyFill="1" applyBorder="1" applyAlignment="1">
      <alignment horizontal="left" vertical="center" wrapText="1"/>
    </xf>
    <xf numFmtId="0" fontId="58" fillId="9" borderId="0" xfId="0" applyFont="1" applyFill="1" applyBorder="1" applyAlignment="1">
      <alignment horizontal="left" wrapText="1"/>
    </xf>
    <xf numFmtId="0" fontId="58" fillId="9" borderId="0" xfId="0" applyFont="1" applyFill="1" applyAlignment="1">
      <alignment horizontal="left" wrapText="1"/>
    </xf>
    <xf numFmtId="0" fontId="55" fillId="9" borderId="0" xfId="0" applyFont="1" applyFill="1" applyBorder="1" applyAlignment="1">
      <alignment vertical="center" wrapText="1"/>
    </xf>
    <xf numFmtId="0" fontId="58" fillId="9" borderId="0" xfId="0" applyFont="1" applyFill="1"/>
    <xf numFmtId="0" fontId="58" fillId="9" borderId="0" xfId="0" applyFont="1" applyFill="1" applyBorder="1" applyAlignment="1">
      <alignment vertical="center" wrapText="1"/>
    </xf>
    <xf numFmtId="0" fontId="63" fillId="12" borderId="1" xfId="0" applyFont="1" applyFill="1" applyBorder="1" applyAlignment="1">
      <alignment horizontal="center" vertical="center" wrapText="1"/>
    </xf>
    <xf numFmtId="0" fontId="63" fillId="12" borderId="1" xfId="0" applyFont="1" applyFill="1" applyBorder="1" applyAlignment="1">
      <alignment horizontal="center" vertical="center"/>
    </xf>
    <xf numFmtId="9" fontId="51" fillId="0" borderId="2" xfId="0" applyNumberFormat="1" applyFont="1" applyBorder="1" applyAlignment="1">
      <alignment horizontal="center" vertical="center" wrapText="1"/>
    </xf>
    <xf numFmtId="9" fontId="64" fillId="0" borderId="1" xfId="0" applyNumberFormat="1" applyFont="1" applyBorder="1" applyAlignment="1">
      <alignment horizontal="center" vertical="center" wrapText="1"/>
    </xf>
    <xf numFmtId="0" fontId="0" fillId="0" borderId="0" xfId="0" applyAlignment="1">
      <alignment horizontal="center"/>
    </xf>
    <xf numFmtId="0" fontId="66" fillId="2" borderId="0" xfId="0" applyFont="1" applyFill="1" applyAlignment="1">
      <alignment horizontal="center" vertical="center"/>
    </xf>
    <xf numFmtId="0" fontId="65" fillId="9" borderId="0" xfId="0" applyFont="1" applyFill="1" applyBorder="1" applyAlignment="1">
      <alignment horizontal="center" vertical="center"/>
    </xf>
    <xf numFmtId="0" fontId="66" fillId="9" borderId="0" xfId="0" applyFont="1" applyFill="1" applyAlignment="1">
      <alignment horizontal="center" vertical="center"/>
    </xf>
    <xf numFmtId="0" fontId="4" fillId="9" borderId="0" xfId="0" applyFont="1" applyFill="1"/>
    <xf numFmtId="0" fontId="51" fillId="0" borderId="6" xfId="0" applyFont="1" applyBorder="1" applyAlignment="1">
      <alignment horizontal="justify" vertical="justify"/>
    </xf>
    <xf numFmtId="0" fontId="51" fillId="0" borderId="7" xfId="0" applyFont="1" applyBorder="1" applyAlignment="1">
      <alignment horizontal="justify" vertical="justify"/>
    </xf>
    <xf numFmtId="0" fontId="51" fillId="0" borderId="5" xfId="0" applyFont="1" applyBorder="1" applyAlignment="1">
      <alignment horizontal="justify" vertical="justify"/>
    </xf>
    <xf numFmtId="0" fontId="51" fillId="0" borderId="8" xfId="0" applyFont="1" applyBorder="1" applyAlignment="1">
      <alignment horizontal="justify" vertical="justify"/>
    </xf>
    <xf numFmtId="0" fontId="51" fillId="0" borderId="15" xfId="0" applyFont="1" applyBorder="1" applyAlignment="1">
      <alignment horizontal="justify" vertical="justify"/>
    </xf>
    <xf numFmtId="0" fontId="51" fillId="0" borderId="9" xfId="0" applyFont="1" applyBorder="1" applyAlignment="1">
      <alignment horizontal="justify" vertical="justify"/>
    </xf>
    <xf numFmtId="0" fontId="51" fillId="0" borderId="1" xfId="0" applyFont="1" applyBorder="1" applyAlignment="1">
      <alignment horizontal="justify" vertical="justify"/>
    </xf>
    <xf numFmtId="0" fontId="52" fillId="0" borderId="6" xfId="0" applyFont="1" applyBorder="1" applyAlignment="1">
      <alignment horizontal="center" vertical="center" wrapText="1"/>
    </xf>
    <xf numFmtId="0" fontId="52" fillId="0" borderId="5" xfId="0" applyFont="1" applyBorder="1" applyAlignment="1">
      <alignment horizontal="center" vertical="center" wrapText="1"/>
    </xf>
    <xf numFmtId="0" fontId="51" fillId="0" borderId="6" xfId="0" applyFont="1" applyBorder="1" applyAlignment="1">
      <alignment horizontal="center" vertical="center" wrapText="1"/>
    </xf>
    <xf numFmtId="0" fontId="51" fillId="0" borderId="7" xfId="0" applyFont="1" applyBorder="1" applyAlignment="1">
      <alignment horizontal="center" vertical="center" wrapText="1"/>
    </xf>
    <xf numFmtId="0" fontId="51" fillId="0" borderId="5" xfId="0" applyFont="1" applyBorder="1" applyAlignment="1">
      <alignment horizontal="center" vertical="center" wrapText="1"/>
    </xf>
    <xf numFmtId="0" fontId="51" fillId="0" borderId="6" xfId="0" applyFont="1" applyBorder="1" applyAlignment="1">
      <alignment horizontal="center" vertical="center"/>
    </xf>
    <xf numFmtId="0" fontId="51" fillId="0" borderId="7" xfId="0" applyFont="1" applyBorder="1" applyAlignment="1">
      <alignment horizontal="center" vertical="center"/>
    </xf>
    <xf numFmtId="0" fontId="51" fillId="0" borderId="5" xfId="0" applyFont="1" applyBorder="1" applyAlignment="1">
      <alignment horizontal="center" vertical="center"/>
    </xf>
    <xf numFmtId="0" fontId="51" fillId="0" borderId="8" xfId="0" applyFont="1" applyBorder="1" applyAlignment="1">
      <alignment horizontal="center" vertical="center"/>
    </xf>
    <xf numFmtId="0" fontId="51" fillId="0" borderId="15" xfId="0" applyFont="1" applyBorder="1" applyAlignment="1">
      <alignment horizontal="center" vertical="center"/>
    </xf>
    <xf numFmtId="0" fontId="51" fillId="0" borderId="9" xfId="0" applyFont="1" applyBorder="1" applyAlignment="1">
      <alignment horizontal="center" vertical="center"/>
    </xf>
    <xf numFmtId="0" fontId="51" fillId="0" borderId="1" xfId="0" applyFont="1" applyBorder="1" applyAlignment="1">
      <alignment horizontal="center" vertical="center"/>
    </xf>
    <xf numFmtId="0" fontId="52" fillId="0" borderId="8" xfId="0" applyFont="1" applyBorder="1" applyAlignment="1">
      <alignment horizontal="center" vertical="center" wrapText="1"/>
    </xf>
    <xf numFmtId="0" fontId="52" fillId="0" borderId="9" xfId="0" applyFont="1" applyBorder="1" applyAlignment="1">
      <alignment horizontal="center" vertical="center" wrapText="1"/>
    </xf>
    <xf numFmtId="0" fontId="52" fillId="0" borderId="1" xfId="0" applyFont="1" applyBorder="1" applyAlignment="1">
      <alignment horizontal="center" vertical="center" wrapText="1"/>
    </xf>
    <xf numFmtId="0" fontId="64" fillId="0" borderId="1" xfId="0" applyFont="1" applyBorder="1" applyAlignment="1">
      <alignment horizontal="center" vertical="center" wrapText="1"/>
    </xf>
    <xf numFmtId="0" fontId="52" fillId="4" borderId="6" xfId="0" applyFont="1" applyFill="1" applyBorder="1" applyAlignment="1">
      <alignment horizontal="center" vertical="center" wrapText="1"/>
    </xf>
    <xf numFmtId="0" fontId="52" fillId="4" borderId="5" xfId="0" applyFont="1" applyFill="1" applyBorder="1" applyAlignment="1">
      <alignment horizontal="center" vertical="center" wrapText="1"/>
    </xf>
    <xf numFmtId="0" fontId="52" fillId="4" borderId="7" xfId="0" applyFont="1" applyFill="1" applyBorder="1" applyAlignment="1">
      <alignment horizontal="center" vertical="center" wrapText="1"/>
    </xf>
    <xf numFmtId="0" fontId="27" fillId="0" borderId="0" xfId="0" applyFont="1" applyAlignment="1">
      <alignment horizontal="right" vertical="center"/>
    </xf>
    <xf numFmtId="0" fontId="9" fillId="0" borderId="0" xfId="0" applyFont="1" applyFill="1" applyAlignment="1">
      <alignment horizontal="justify" vertical="justify" wrapText="1"/>
    </xf>
    <xf numFmtId="0" fontId="52" fillId="2" borderId="2" xfId="0" applyFont="1" applyFill="1" applyBorder="1" applyAlignment="1">
      <alignment horizontal="center" vertical="center" wrapText="1"/>
    </xf>
    <xf numFmtId="0" fontId="27" fillId="4" borderId="0" xfId="0" applyFont="1" applyFill="1" applyAlignment="1">
      <alignment horizontal="center" vertical="center"/>
    </xf>
    <xf numFmtId="0" fontId="53" fillId="0" borderId="14" xfId="0" applyFont="1" applyBorder="1" applyAlignment="1">
      <alignment horizontal="left"/>
    </xf>
    <xf numFmtId="0" fontId="62" fillId="0" borderId="0" xfId="0" applyFont="1" applyAlignment="1">
      <alignment horizontal="left"/>
    </xf>
    <xf numFmtId="0" fontId="37" fillId="0" borderId="0" xfId="0" applyFont="1" applyAlignment="1">
      <alignment horizontal="center" vertical="center"/>
    </xf>
    <xf numFmtId="0" fontId="33" fillId="9" borderId="0" xfId="0" applyFont="1" applyFill="1" applyBorder="1" applyAlignment="1">
      <alignment horizontal="center" vertical="center"/>
    </xf>
    <xf numFmtId="0" fontId="56" fillId="9" borderId="0" xfId="0" applyFont="1" applyFill="1" applyBorder="1" applyAlignment="1">
      <alignment horizontal="center" vertical="justify" wrapText="1"/>
    </xf>
    <xf numFmtId="0" fontId="60" fillId="0" borderId="1" xfId="0" applyFont="1" applyBorder="1" applyAlignment="1">
      <alignment horizontal="left" vertical="center" wrapText="1"/>
    </xf>
    <xf numFmtId="0" fontId="62" fillId="0" borderId="0" xfId="0" applyFont="1" applyAlignment="1">
      <alignment horizontal="left" vertical="center"/>
    </xf>
    <xf numFmtId="0" fontId="56" fillId="9" borderId="1" xfId="0" applyFont="1" applyFill="1" applyBorder="1" applyAlignment="1">
      <alignment horizontal="center" vertical="center"/>
    </xf>
    <xf numFmtId="0" fontId="55" fillId="9" borderId="1" xfId="0" applyFont="1" applyFill="1" applyBorder="1" applyAlignment="1">
      <alignment horizontal="center" vertical="center" wrapText="1"/>
    </xf>
    <xf numFmtId="0" fontId="55" fillId="12" borderId="15" xfId="0" applyFont="1" applyFill="1" applyBorder="1" applyAlignment="1">
      <alignment horizontal="center" vertical="center" wrapText="1"/>
    </xf>
    <xf numFmtId="0" fontId="56" fillId="9" borderId="6" xfId="0" applyFont="1" applyFill="1" applyBorder="1" applyAlignment="1">
      <alignment horizontal="center" wrapText="1"/>
    </xf>
    <xf numFmtId="0" fontId="56" fillId="9" borderId="7" xfId="0" applyFont="1" applyFill="1" applyBorder="1" applyAlignment="1">
      <alignment horizontal="center" wrapText="1"/>
    </xf>
    <xf numFmtId="0" fontId="56" fillId="9" borderId="5" xfId="0" applyFont="1" applyFill="1" applyBorder="1" applyAlignment="1">
      <alignment horizontal="center" wrapText="1"/>
    </xf>
    <xf numFmtId="0" fontId="37" fillId="0" borderId="1" xfId="0" applyFont="1" applyBorder="1" applyAlignment="1">
      <alignment horizontal="center" vertical="center" wrapText="1"/>
    </xf>
    <xf numFmtId="0" fontId="33" fillId="12" borderId="1" xfId="0" applyFont="1" applyFill="1" applyBorder="1" applyAlignment="1">
      <alignment horizontal="center" vertical="center"/>
    </xf>
    <xf numFmtId="0" fontId="60" fillId="0" borderId="1" xfId="0" applyFont="1" applyBorder="1" applyAlignment="1">
      <alignment horizontal="left" vertical="center"/>
    </xf>
    <xf numFmtId="0" fontId="56" fillId="9" borderId="0" xfId="0" applyFont="1" applyFill="1" applyBorder="1" applyAlignment="1">
      <alignment horizontal="justify" vertical="justify" wrapText="1"/>
    </xf>
    <xf numFmtId="0" fontId="54" fillId="0" borderId="0" xfId="0" applyFont="1" applyBorder="1" applyAlignment="1">
      <alignment horizontal="right" vertical="center" wrapText="1"/>
    </xf>
    <xf numFmtId="0" fontId="60" fillId="12" borderId="15" xfId="0" applyFont="1" applyFill="1" applyBorder="1" applyAlignment="1">
      <alignment horizontal="center" vertical="center" wrapText="1"/>
    </xf>
    <xf numFmtId="0" fontId="60" fillId="0" borderId="1" xfId="0" applyFont="1" applyBorder="1" applyAlignment="1">
      <alignment horizontal="center" vertical="center" wrapText="1"/>
    </xf>
    <xf numFmtId="0" fontId="60" fillId="0" borderId="6" xfId="0" applyFont="1" applyBorder="1" applyAlignment="1">
      <alignment horizontal="center" vertical="center" wrapText="1"/>
    </xf>
    <xf numFmtId="0" fontId="60" fillId="0" borderId="7" xfId="0" applyFont="1" applyBorder="1" applyAlignment="1">
      <alignment horizontal="center" vertical="center" wrapText="1"/>
    </xf>
    <xf numFmtId="0" fontId="60" fillId="0" borderId="5" xfId="0" applyFont="1" applyBorder="1" applyAlignment="1">
      <alignment horizontal="center" vertical="center" wrapText="1"/>
    </xf>
    <xf numFmtId="0" fontId="58" fillId="9" borderId="1" xfId="0" applyFont="1" applyFill="1" applyBorder="1" applyAlignment="1">
      <alignment horizontal="center" vertical="center"/>
    </xf>
    <xf numFmtId="0" fontId="58" fillId="9" borderId="1" xfId="0" applyFont="1" applyFill="1" applyBorder="1" applyAlignment="1">
      <alignment horizontal="center"/>
    </xf>
    <xf numFmtId="0" fontId="58" fillId="0" borderId="1" xfId="0" applyFont="1" applyBorder="1" applyAlignment="1">
      <alignment horizontal="left" vertical="center" wrapText="1"/>
    </xf>
    <xf numFmtId="0" fontId="58" fillId="0" borderId="1" xfId="0" applyFont="1" applyBorder="1" applyAlignment="1">
      <alignment horizontal="left" vertical="center"/>
    </xf>
    <xf numFmtId="0" fontId="56" fillId="9" borderId="6" xfId="0" applyFont="1" applyFill="1" applyBorder="1" applyAlignment="1">
      <alignment horizontal="center" vertical="center" wrapText="1"/>
    </xf>
    <xf numFmtId="0" fontId="56" fillId="9" borderId="7" xfId="0" applyFont="1" applyFill="1" applyBorder="1" applyAlignment="1">
      <alignment horizontal="center" vertical="center" wrapText="1"/>
    </xf>
    <xf numFmtId="0" fontId="56" fillId="9" borderId="5" xfId="0" applyFont="1" applyFill="1" applyBorder="1" applyAlignment="1">
      <alignment horizontal="center" vertical="center" wrapText="1"/>
    </xf>
    <xf numFmtId="0" fontId="55" fillId="12" borderId="8" xfId="0" applyFont="1" applyFill="1" applyBorder="1" applyAlignment="1">
      <alignment horizontal="center" vertical="center" wrapText="1"/>
    </xf>
    <xf numFmtId="0" fontId="55" fillId="12" borderId="9" xfId="0" applyFont="1" applyFill="1" applyBorder="1" applyAlignment="1">
      <alignment horizontal="center" vertical="center" wrapText="1"/>
    </xf>
    <xf numFmtId="0" fontId="55" fillId="12" borderId="12" xfId="0" applyFont="1" applyFill="1" applyBorder="1" applyAlignment="1">
      <alignment horizontal="center" vertical="center" wrapText="1"/>
    </xf>
    <xf numFmtId="0" fontId="55" fillId="12" borderId="13" xfId="0" applyFont="1" applyFill="1" applyBorder="1" applyAlignment="1">
      <alignment horizontal="center" vertical="center" wrapText="1"/>
    </xf>
    <xf numFmtId="0" fontId="55" fillId="12" borderId="1" xfId="0" applyFont="1" applyFill="1" applyBorder="1" applyAlignment="1">
      <alignment horizontal="center" vertical="center" wrapText="1"/>
    </xf>
    <xf numFmtId="0" fontId="55" fillId="12" borderId="14" xfId="0" applyFont="1" applyFill="1" applyBorder="1" applyAlignment="1">
      <alignment horizontal="center" vertical="center" wrapText="1"/>
    </xf>
    <xf numFmtId="0" fontId="55" fillId="9" borderId="6" xfId="0" applyFont="1" applyFill="1" applyBorder="1" applyAlignment="1">
      <alignment horizontal="center" vertical="center" wrapText="1"/>
    </xf>
    <xf numFmtId="0" fontId="55" fillId="9" borderId="7" xfId="0" applyFont="1" applyFill="1" applyBorder="1" applyAlignment="1">
      <alignment horizontal="center" vertical="center" wrapText="1"/>
    </xf>
    <xf numFmtId="0" fontId="55" fillId="9" borderId="5" xfId="0" applyFont="1" applyFill="1" applyBorder="1" applyAlignment="1">
      <alignment horizontal="center" vertical="center" wrapText="1"/>
    </xf>
    <xf numFmtId="0" fontId="33" fillId="9" borderId="1" xfId="0" applyFont="1" applyFill="1" applyBorder="1" applyAlignment="1">
      <alignment horizontal="center" vertical="center"/>
    </xf>
    <xf numFmtId="0" fontId="61" fillId="9" borderId="1" xfId="0" applyFont="1" applyFill="1" applyBorder="1" applyAlignment="1">
      <alignment horizontal="center" vertical="center"/>
    </xf>
    <xf numFmtId="0" fontId="60" fillId="9" borderId="1" xfId="0" applyFont="1" applyFill="1" applyBorder="1" applyAlignment="1">
      <alignment horizontal="left" vertical="center" wrapText="1"/>
    </xf>
    <xf numFmtId="0" fontId="60" fillId="9" borderId="1" xfId="0" applyFont="1" applyFill="1" applyBorder="1" applyAlignment="1">
      <alignment horizontal="center" vertical="center" wrapText="1"/>
    </xf>
    <xf numFmtId="0" fontId="60" fillId="0" borderId="1" xfId="0" applyFont="1" applyBorder="1" applyAlignment="1">
      <alignment horizontal="center" vertical="center"/>
    </xf>
    <xf numFmtId="0" fontId="58" fillId="0" borderId="1"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4" fillId="0" borderId="2" xfId="0" applyFont="1" applyFill="1" applyBorder="1" applyAlignment="1">
      <alignment horizontal="center" vertical="center" textRotation="90"/>
    </xf>
    <xf numFmtId="0" fontId="14" fillId="0" borderId="3" xfId="0" applyFont="1" applyFill="1" applyBorder="1" applyAlignment="1">
      <alignment horizontal="center" vertical="center" textRotation="90"/>
    </xf>
    <xf numFmtId="0" fontId="14" fillId="0" borderId="4" xfId="0" applyFont="1" applyFill="1" applyBorder="1" applyAlignment="1">
      <alignment horizontal="center" vertical="center" textRotation="90"/>
    </xf>
    <xf numFmtId="0" fontId="5" fillId="0" borderId="1" xfId="0" applyFont="1" applyFill="1" applyBorder="1" applyAlignment="1">
      <alignment horizontal="center" vertical="center" wrapText="1"/>
    </xf>
    <xf numFmtId="0" fontId="14" fillId="0" borderId="1" xfId="0" applyFont="1" applyFill="1" applyBorder="1" applyAlignment="1">
      <alignment horizontal="center" vertical="center" textRotation="90"/>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 xfId="0" applyFont="1" applyFill="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7" fillId="3" borderId="1" xfId="0" applyFont="1" applyFill="1" applyBorder="1" applyAlignment="1">
      <alignment horizontal="center" vertical="center"/>
    </xf>
    <xf numFmtId="0" fontId="14" fillId="3" borderId="9" xfId="0" applyFont="1" applyFill="1" applyBorder="1" applyAlignment="1">
      <alignment horizontal="center" vertical="center" textRotation="90"/>
    </xf>
    <xf numFmtId="0" fontId="14" fillId="3" borderId="11" xfId="0" applyFont="1" applyFill="1" applyBorder="1" applyAlignment="1">
      <alignment horizontal="center" vertical="center" textRotation="90"/>
    </xf>
    <xf numFmtId="0" fontId="14" fillId="3" borderId="13" xfId="0" applyFont="1" applyFill="1" applyBorder="1" applyAlignment="1">
      <alignment horizontal="center" vertical="center" textRotation="90"/>
    </xf>
    <xf numFmtId="0" fontId="36" fillId="0" borderId="15" xfId="0" applyFont="1" applyBorder="1" applyAlignment="1">
      <alignment horizontal="center" vertical="center"/>
    </xf>
    <xf numFmtId="0" fontId="36" fillId="0" borderId="0" xfId="0" applyFont="1" applyBorder="1" applyAlignment="1">
      <alignment horizontal="center" vertical="center"/>
    </xf>
    <xf numFmtId="0" fontId="36" fillId="0" borderId="14" xfId="0" applyFont="1" applyBorder="1" applyAlignment="1">
      <alignment horizontal="center" vertical="center"/>
    </xf>
    <xf numFmtId="0" fontId="14" fillId="3" borderId="1" xfId="0" applyFont="1" applyFill="1" applyBorder="1" applyAlignment="1">
      <alignment horizontal="center" vertical="center" textRotation="90"/>
    </xf>
    <xf numFmtId="0" fontId="36" fillId="0" borderId="1" xfId="0" applyFont="1" applyBorder="1" applyAlignment="1">
      <alignment horizontal="center" vertical="center"/>
    </xf>
    <xf numFmtId="0" fontId="14" fillId="3" borderId="2" xfId="0" applyFont="1" applyFill="1" applyBorder="1" applyAlignment="1">
      <alignment horizontal="center" vertical="center" textRotation="90"/>
    </xf>
    <xf numFmtId="0" fontId="14" fillId="3" borderId="3" xfId="0" applyFont="1" applyFill="1" applyBorder="1" applyAlignment="1">
      <alignment horizontal="center" vertical="center" textRotation="90"/>
    </xf>
    <xf numFmtId="0" fontId="14" fillId="3" borderId="4" xfId="0" applyFont="1" applyFill="1" applyBorder="1" applyAlignment="1">
      <alignment horizontal="center" vertical="center" textRotation="90"/>
    </xf>
    <xf numFmtId="0" fontId="36" fillId="0" borderId="2" xfId="0" applyFont="1" applyBorder="1" applyAlignment="1">
      <alignment horizontal="center" vertical="center"/>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26" fillId="2" borderId="1" xfId="0" applyFont="1" applyFill="1" applyBorder="1" applyAlignment="1">
      <alignment horizontal="center" vertical="center"/>
    </xf>
    <xf numFmtId="0" fontId="16" fillId="0" borderId="1" xfId="0" applyFont="1" applyBorder="1" applyAlignment="1">
      <alignment horizontal="center" vertical="center"/>
    </xf>
    <xf numFmtId="0" fontId="34" fillId="2" borderId="1" xfId="0" applyFont="1" applyFill="1" applyBorder="1" applyAlignment="1">
      <alignment horizontal="center" vertical="center"/>
    </xf>
    <xf numFmtId="0" fontId="34" fillId="2" borderId="2" xfId="0" applyFont="1" applyFill="1" applyBorder="1" applyAlignment="1">
      <alignment horizontal="center" vertical="center"/>
    </xf>
    <xf numFmtId="0" fontId="34" fillId="2" borderId="1"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3" borderId="1" xfId="0" applyFont="1" applyFill="1" applyBorder="1" applyAlignment="1">
      <alignment horizontal="center" vertical="center"/>
    </xf>
    <xf numFmtId="0" fontId="34" fillId="3" borderId="2" xfId="0" applyFont="1" applyFill="1" applyBorder="1" applyAlignment="1">
      <alignment horizontal="center" vertical="center"/>
    </xf>
    <xf numFmtId="0" fontId="34"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35" fillId="0" borderId="5" xfId="0" applyFont="1" applyBorder="1" applyAlignment="1">
      <alignment horizontal="center" vertical="center"/>
    </xf>
    <xf numFmtId="0" fontId="8" fillId="2" borderId="1" xfId="0" applyFont="1" applyFill="1" applyBorder="1" applyAlignment="1">
      <alignment horizontal="center" vertical="center"/>
    </xf>
    <xf numFmtId="0" fontId="65" fillId="2" borderId="15" xfId="0" applyFont="1" applyFill="1" applyBorder="1" applyAlignment="1">
      <alignment horizontal="center" vertical="center"/>
    </xf>
    <xf numFmtId="0" fontId="14" fillId="3" borderId="1" xfId="0" applyFont="1" applyFill="1" applyBorder="1" applyAlignment="1">
      <alignment horizontal="center" vertical="center" textRotation="255"/>
    </xf>
    <xf numFmtId="0" fontId="11" fillId="0" borderId="1" xfId="0" applyFont="1" applyFill="1" applyBorder="1" applyAlignment="1">
      <alignment horizontal="center" vertical="center" wrapText="1"/>
    </xf>
    <xf numFmtId="0" fontId="33" fillId="2" borderId="6"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25" fillId="3" borderId="1" xfId="0" applyFont="1" applyFill="1" applyBorder="1" applyAlignment="1">
      <alignment horizontal="center" vertical="center"/>
    </xf>
    <xf numFmtId="0" fontId="11" fillId="5" borderId="1" xfId="0" applyFont="1" applyFill="1" applyBorder="1" applyAlignment="1">
      <alignment horizontal="center" vertical="center"/>
    </xf>
    <xf numFmtId="0" fontId="28" fillId="0" borderId="14" xfId="0" applyFont="1" applyBorder="1" applyAlignment="1">
      <alignment horizontal="right" vertical="center"/>
    </xf>
    <xf numFmtId="0" fontId="28" fillId="0" borderId="10" xfId="0" applyFont="1" applyBorder="1" applyAlignment="1">
      <alignment horizontal="right" vertical="center"/>
    </xf>
    <xf numFmtId="0" fontId="28" fillId="0" borderId="0" xfId="0" applyFont="1" applyBorder="1" applyAlignment="1">
      <alignment horizontal="right" vertical="center"/>
    </xf>
    <xf numFmtId="0" fontId="40" fillId="0" borderId="0" xfId="0" applyFont="1" applyAlignment="1">
      <alignment horizontal="center" vertical="justify"/>
    </xf>
    <xf numFmtId="0" fontId="42" fillId="11" borderId="23" xfId="0" applyFont="1" applyFill="1" applyBorder="1" applyAlignment="1">
      <alignment horizontal="center" vertical="center" wrapText="1"/>
    </xf>
    <xf numFmtId="0" fontId="42" fillId="11" borderId="24" xfId="0" applyFont="1" applyFill="1" applyBorder="1" applyAlignment="1">
      <alignment horizontal="center" vertical="center" wrapText="1"/>
    </xf>
    <xf numFmtId="0" fontId="42" fillId="11" borderId="25" xfId="0" applyFont="1" applyFill="1" applyBorder="1" applyAlignment="1">
      <alignment horizontal="center" vertical="center" wrapText="1"/>
    </xf>
    <xf numFmtId="0" fontId="46" fillId="0" borderId="0" xfId="0" applyFont="1" applyAlignment="1">
      <alignment horizontal="left" vertical="justify"/>
    </xf>
    <xf numFmtId="0" fontId="40" fillId="0" borderId="16" xfId="0" applyFont="1" applyBorder="1" applyAlignment="1">
      <alignment horizontal="center"/>
    </xf>
    <xf numFmtId="0" fontId="40" fillId="0" borderId="0" xfId="0" applyFont="1" applyAlignment="1">
      <alignment horizontal="center"/>
    </xf>
    <xf numFmtId="0" fontId="44" fillId="0" borderId="0" xfId="0" applyFont="1" applyAlignment="1">
      <alignment horizontal="left" vertical="center"/>
    </xf>
    <xf numFmtId="0" fontId="37" fillId="2" borderId="6" xfId="0" applyFont="1" applyFill="1" applyBorder="1" applyAlignment="1">
      <alignment horizontal="center" vertical="center" wrapText="1"/>
    </xf>
    <xf numFmtId="0" fontId="37" fillId="2" borderId="5" xfId="0" applyFont="1" applyFill="1" applyBorder="1" applyAlignment="1">
      <alignment horizontal="center" vertical="center" wrapText="1"/>
    </xf>
    <xf numFmtId="0" fontId="12" fillId="3" borderId="1" xfId="0" applyFont="1" applyFill="1" applyBorder="1" applyAlignment="1">
      <alignment horizontal="center" vertical="center"/>
    </xf>
    <xf numFmtId="0" fontId="38" fillId="3" borderId="1" xfId="0" applyFont="1" applyFill="1" applyBorder="1" applyAlignment="1">
      <alignment horizontal="center"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13" fillId="3" borderId="1" xfId="0" applyFont="1" applyFill="1" applyBorder="1" applyAlignment="1">
      <alignment horizontal="center" vertical="center"/>
    </xf>
    <xf numFmtId="0" fontId="37" fillId="2" borderId="7" xfId="0" applyFont="1" applyFill="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5" xfId="0" applyFont="1" applyBorder="1" applyAlignment="1">
      <alignment horizontal="center" vertical="center"/>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219074</xdr:colOff>
      <xdr:row>0</xdr:row>
      <xdr:rowOff>1066800</xdr:rowOff>
    </xdr:to>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31645"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2059" name="Text Box 11"/>
        <xdr:cNvSpPr txBox="1">
          <a:spLocks noChangeArrowheads="1"/>
        </xdr:cNvSpPr>
      </xdr:nvSpPr>
      <xdr:spPr bwMode="auto">
        <a:xfrm>
          <a:off x="7354895" y="331832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2063" name="Rectangle 15"/>
        <xdr:cNvSpPr>
          <a:spLocks noChangeArrowheads="1"/>
        </xdr:cNvSpPr>
      </xdr:nvSpPr>
      <xdr:spPr bwMode="auto">
        <a:xfrm>
          <a:off x="5323113" y="5749018"/>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20" name="Rectangle 15"/>
        <xdr:cNvSpPr>
          <a:spLocks noChangeArrowheads="1"/>
        </xdr:cNvSpPr>
      </xdr:nvSpPr>
      <xdr:spPr bwMode="auto">
        <a:xfrm>
          <a:off x="7173685" y="5762625"/>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21" name="Rectangle 15"/>
        <xdr:cNvSpPr>
          <a:spLocks noChangeArrowheads="1"/>
        </xdr:cNvSpPr>
      </xdr:nvSpPr>
      <xdr:spPr bwMode="auto">
        <a:xfrm>
          <a:off x="8833757" y="5762625"/>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22" name="Rectangle 15"/>
        <xdr:cNvSpPr>
          <a:spLocks noChangeArrowheads="1"/>
        </xdr:cNvSpPr>
      </xdr:nvSpPr>
      <xdr:spPr bwMode="auto">
        <a:xfrm>
          <a:off x="3567792" y="5749018"/>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2064" name="Rectangle 16"/>
        <xdr:cNvSpPr>
          <a:spLocks noChangeArrowheads="1"/>
        </xdr:cNvSpPr>
      </xdr:nvSpPr>
      <xdr:spPr bwMode="auto">
        <a:xfrm>
          <a:off x="77880" y="13583311"/>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26" name="Rectangle 16"/>
        <xdr:cNvSpPr>
          <a:spLocks noChangeArrowheads="1"/>
        </xdr:cNvSpPr>
      </xdr:nvSpPr>
      <xdr:spPr bwMode="auto">
        <a:xfrm>
          <a:off x="70087" y="1289919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27" name="Rectangle 16"/>
        <xdr:cNvSpPr>
          <a:spLocks noChangeArrowheads="1"/>
        </xdr:cNvSpPr>
      </xdr:nvSpPr>
      <xdr:spPr bwMode="auto">
        <a:xfrm>
          <a:off x="77880" y="12325197"/>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28" name="Text Box 11"/>
        <xdr:cNvSpPr txBox="1">
          <a:spLocks noChangeArrowheads="1"/>
        </xdr:cNvSpPr>
      </xdr:nvSpPr>
      <xdr:spPr bwMode="auto">
        <a:xfrm>
          <a:off x="3787348" y="331832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1</xdr:row>
      <xdr:rowOff>21167</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7"/>
          <a:ext cx="2133600" cy="7112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rabanalr/Documents/SECTUR/Matrices%20de%20evaluaci&#243;n/Gu&#237;as%20de%20evaluaci&#243;n%20del%20SNCT%20(ajustadas)/Subsector%20Hospedaje/Subsector%20Hospedaje%20-%20SNCT%20(ajusta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Datos Generales"/>
      <sheetName val="Evaluacion"/>
      <sheetName val="Calificacion"/>
      <sheetName val="Segunda condicional"/>
      <sheetName val="Tabla de puntuación"/>
      <sheetName val="Marco Legal y Normativo"/>
      <sheetName val="Referentes"/>
      <sheetName val="Comentarios"/>
      <sheetName val="Puntuación"/>
    </sheetNames>
    <sheetDataSet>
      <sheetData sheetId="0"/>
      <sheetData sheetId="1">
        <row r="7">
          <cell r="C7"/>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85" zoomScaleNormal="85" zoomScalePageLayoutView="70" workbookViewId="0">
      <pane ySplit="1" topLeftCell="A2" activePane="bottomLeft" state="frozen"/>
      <selection pane="bottomLeft" activeCell="C13" sqref="C13:E13"/>
    </sheetView>
  </sheetViews>
  <sheetFormatPr baseColWidth="10" defaultRowHeight="15"/>
  <cols>
    <col min="1" max="1" width="4.42578125" customWidth="1"/>
    <col min="2" max="2" width="11.85546875" customWidth="1"/>
    <col min="7" max="8" width="21.85546875" customWidth="1"/>
    <col min="9" max="9" width="39.85546875" customWidth="1"/>
  </cols>
  <sheetData>
    <row r="1" spans="1:9" ht="95.25" customHeight="1">
      <c r="A1" s="167" t="s">
        <v>54</v>
      </c>
      <c r="B1" s="167"/>
      <c r="C1" s="167"/>
      <c r="D1" s="167"/>
      <c r="E1" s="167"/>
      <c r="F1" s="167"/>
      <c r="G1" s="167"/>
      <c r="H1" s="167"/>
      <c r="I1" s="167"/>
    </row>
    <row r="2" spans="1:9" ht="117" customHeight="1">
      <c r="A2" s="168" t="s">
        <v>379</v>
      </c>
      <c r="B2" s="168"/>
      <c r="C2" s="168"/>
      <c r="D2" s="168"/>
      <c r="E2" s="168"/>
      <c r="F2" s="168"/>
      <c r="G2" s="168"/>
      <c r="H2" s="168"/>
      <c r="I2" s="168"/>
    </row>
    <row r="3" spans="1:9" ht="39.75" customHeight="1">
      <c r="A3" s="170" t="s">
        <v>52</v>
      </c>
      <c r="B3" s="170"/>
      <c r="C3" s="170"/>
      <c r="D3" s="170"/>
      <c r="E3" s="170"/>
      <c r="F3" s="170"/>
      <c r="G3" s="170"/>
      <c r="H3" s="170"/>
      <c r="I3" s="170"/>
    </row>
    <row r="4" spans="1:9" ht="117.75" customHeight="1">
      <c r="A4" s="168" t="s">
        <v>380</v>
      </c>
      <c r="B4" s="168"/>
      <c r="C4" s="168"/>
      <c r="D4" s="168"/>
      <c r="E4" s="168"/>
      <c r="F4" s="168"/>
      <c r="G4" s="168"/>
      <c r="H4" s="168"/>
      <c r="I4" s="168"/>
    </row>
    <row r="5" spans="1:9" ht="32.25" customHeight="1">
      <c r="A5" s="170" t="s">
        <v>53</v>
      </c>
      <c r="B5" s="170"/>
      <c r="C5" s="170"/>
      <c r="D5" s="170"/>
      <c r="E5" s="170"/>
      <c r="F5" s="170"/>
      <c r="G5" s="170"/>
      <c r="H5" s="170"/>
      <c r="I5" s="170"/>
    </row>
    <row r="6" spans="1:9" ht="15" customHeight="1">
      <c r="A6" s="98"/>
      <c r="B6" s="99" t="s">
        <v>57</v>
      </c>
      <c r="C6" s="100" t="s">
        <v>54</v>
      </c>
      <c r="D6" s="98"/>
      <c r="E6" s="98"/>
      <c r="F6" s="98"/>
      <c r="G6" s="101"/>
      <c r="H6" s="98"/>
      <c r="I6" s="98"/>
    </row>
    <row r="7" spans="1:9" ht="14.25" customHeight="1">
      <c r="A7" s="98"/>
      <c r="B7" s="99" t="s">
        <v>56</v>
      </c>
      <c r="C7" s="100" t="s">
        <v>55</v>
      </c>
      <c r="D7" s="98"/>
      <c r="E7" s="98"/>
      <c r="F7" s="98"/>
      <c r="G7" s="101"/>
      <c r="H7" s="98"/>
      <c r="I7" s="98"/>
    </row>
    <row r="8" spans="1:9" ht="12" customHeight="1">
      <c r="A8" s="98"/>
      <c r="B8" s="99"/>
      <c r="C8" s="100"/>
      <c r="D8" s="98"/>
      <c r="E8" s="98"/>
      <c r="F8" s="98"/>
      <c r="G8" s="101"/>
      <c r="H8" s="98"/>
      <c r="I8" s="98"/>
    </row>
    <row r="9" spans="1:9" ht="14.25" customHeight="1">
      <c r="A9" s="171" t="s">
        <v>381</v>
      </c>
      <c r="B9" s="171"/>
      <c r="C9" s="171"/>
      <c r="D9" s="171"/>
      <c r="E9" s="171"/>
      <c r="F9" s="171"/>
      <c r="G9" s="171"/>
      <c r="H9" s="171"/>
      <c r="I9" s="171"/>
    </row>
    <row r="10" spans="1:9" ht="19.5" customHeight="1">
      <c r="A10" s="169" t="s">
        <v>58</v>
      </c>
      <c r="B10" s="169"/>
      <c r="C10" s="169"/>
      <c r="D10" s="169"/>
      <c r="E10" s="169"/>
      <c r="F10" s="169"/>
      <c r="G10" s="169"/>
      <c r="H10" s="169"/>
      <c r="I10" s="169"/>
    </row>
    <row r="11" spans="1:9" s="23" customFormat="1" ht="21.75" customHeight="1">
      <c r="A11" s="164" t="s">
        <v>382</v>
      </c>
      <c r="B11" s="165"/>
      <c r="C11" s="164" t="s">
        <v>383</v>
      </c>
      <c r="D11" s="166"/>
      <c r="E11" s="165"/>
      <c r="F11" s="164" t="s">
        <v>388</v>
      </c>
      <c r="G11" s="166"/>
      <c r="H11" s="165"/>
      <c r="I11" s="103" t="s">
        <v>389</v>
      </c>
    </row>
    <row r="12" spans="1:9" ht="32.25" customHeight="1">
      <c r="A12" s="148" t="s">
        <v>8</v>
      </c>
      <c r="B12" s="149"/>
      <c r="C12" s="150" t="s">
        <v>384</v>
      </c>
      <c r="D12" s="151"/>
      <c r="E12" s="152"/>
      <c r="F12" s="141" t="s">
        <v>456</v>
      </c>
      <c r="G12" s="142"/>
      <c r="H12" s="143"/>
      <c r="I12" s="102">
        <v>0</v>
      </c>
    </row>
    <row r="13" spans="1:9" ht="61.5" customHeight="1">
      <c r="A13" s="148" t="s">
        <v>9</v>
      </c>
      <c r="B13" s="149"/>
      <c r="C13" s="153" t="s">
        <v>385</v>
      </c>
      <c r="D13" s="154"/>
      <c r="E13" s="155"/>
      <c r="F13" s="141" t="s">
        <v>390</v>
      </c>
      <c r="G13" s="142"/>
      <c r="H13" s="143"/>
      <c r="I13" s="102">
        <v>0.1</v>
      </c>
    </row>
    <row r="14" spans="1:9" ht="78.75" customHeight="1">
      <c r="A14" s="160" t="s">
        <v>10</v>
      </c>
      <c r="B14" s="161"/>
      <c r="C14" s="156" t="s">
        <v>338</v>
      </c>
      <c r="D14" s="157"/>
      <c r="E14" s="158"/>
      <c r="F14" s="144" t="s">
        <v>457</v>
      </c>
      <c r="G14" s="145"/>
      <c r="H14" s="146"/>
      <c r="I14" s="134">
        <v>0.2</v>
      </c>
    </row>
    <row r="15" spans="1:9" ht="45" customHeight="1">
      <c r="A15" s="160" t="s">
        <v>448</v>
      </c>
      <c r="B15" s="161"/>
      <c r="C15" s="163" t="s">
        <v>449</v>
      </c>
      <c r="D15" s="163"/>
      <c r="E15" s="163"/>
      <c r="F15" s="147" t="s">
        <v>458</v>
      </c>
      <c r="G15" s="147"/>
      <c r="H15" s="147"/>
      <c r="I15" s="135">
        <v>0.3</v>
      </c>
    </row>
    <row r="16" spans="1:9" ht="96" customHeight="1">
      <c r="A16" s="162" t="s">
        <v>11</v>
      </c>
      <c r="B16" s="162"/>
      <c r="C16" s="159" t="s">
        <v>386</v>
      </c>
      <c r="D16" s="159"/>
      <c r="E16" s="159"/>
      <c r="F16" s="147" t="s">
        <v>459</v>
      </c>
      <c r="G16" s="147"/>
      <c r="H16" s="147"/>
      <c r="I16" s="102">
        <v>0.6</v>
      </c>
    </row>
    <row r="17" spans="1:9" ht="80.25" customHeight="1">
      <c r="A17" s="148" t="s">
        <v>12</v>
      </c>
      <c r="B17" s="149"/>
      <c r="C17" s="153" t="s">
        <v>387</v>
      </c>
      <c r="D17" s="154"/>
      <c r="E17" s="155"/>
      <c r="F17" s="141" t="s">
        <v>460</v>
      </c>
      <c r="G17" s="142"/>
      <c r="H17" s="143"/>
      <c r="I17" s="102">
        <v>1</v>
      </c>
    </row>
  </sheetData>
  <mergeCells count="28">
    <mergeCell ref="A11:B11"/>
    <mergeCell ref="C11:E11"/>
    <mergeCell ref="F11:H11"/>
    <mergeCell ref="A1:I1"/>
    <mergeCell ref="A2:I2"/>
    <mergeCell ref="A4:I4"/>
    <mergeCell ref="A10:I10"/>
    <mergeCell ref="A3:I3"/>
    <mergeCell ref="A5:I5"/>
    <mergeCell ref="A9:I9"/>
    <mergeCell ref="A17:B17"/>
    <mergeCell ref="C12:E12"/>
    <mergeCell ref="C13:E13"/>
    <mergeCell ref="C14:E14"/>
    <mergeCell ref="C16:E16"/>
    <mergeCell ref="C17:E17"/>
    <mergeCell ref="A12:B12"/>
    <mergeCell ref="A13:B13"/>
    <mergeCell ref="A14:B14"/>
    <mergeCell ref="A16:B16"/>
    <mergeCell ref="C15:E15"/>
    <mergeCell ref="A15:B15"/>
    <mergeCell ref="F17:H17"/>
    <mergeCell ref="F12:H12"/>
    <mergeCell ref="F13:H13"/>
    <mergeCell ref="F14:H14"/>
    <mergeCell ref="F16:H16"/>
    <mergeCell ref="F15:H15"/>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70" zoomScaleNormal="70" workbookViewId="0">
      <pane ySplit="2" topLeftCell="A15" activePane="bottomLeft" state="frozen"/>
      <selection pane="bottomLeft" activeCell="E15" sqref="E15"/>
    </sheetView>
  </sheetViews>
  <sheetFormatPr baseColWidth="10" defaultRowHeight="15.75"/>
  <cols>
    <col min="1" max="1" width="5.85546875" style="32" customWidth="1"/>
    <col min="2" max="2" width="114.140625" style="32" customWidth="1"/>
    <col min="3" max="3" width="8.7109375" style="32" customWidth="1"/>
    <col min="4" max="11" width="11.42578125" style="21"/>
  </cols>
  <sheetData>
    <row r="1" spans="1:11" ht="77.25" customHeight="1">
      <c r="A1" s="275" t="s">
        <v>320</v>
      </c>
      <c r="B1" s="276"/>
      <c r="C1" s="276"/>
    </row>
    <row r="2" spans="1:11" s="23" customFormat="1" ht="26.25" customHeight="1">
      <c r="A2" s="58" t="s">
        <v>1</v>
      </c>
      <c r="B2" s="285" t="s">
        <v>320</v>
      </c>
      <c r="C2" s="286"/>
      <c r="D2" s="22"/>
      <c r="E2" s="22"/>
      <c r="F2" s="22"/>
      <c r="G2" s="22"/>
      <c r="H2" s="22"/>
      <c r="I2" s="22"/>
      <c r="J2" s="22"/>
      <c r="K2" s="22"/>
    </row>
    <row r="3" spans="1:11" s="23" customFormat="1" ht="26.25" customHeight="1">
      <c r="A3" s="289" t="s">
        <v>337</v>
      </c>
      <c r="B3" s="290"/>
      <c r="C3" s="291"/>
      <c r="D3" s="22"/>
      <c r="E3" s="22"/>
      <c r="F3" s="22"/>
      <c r="G3" s="22"/>
      <c r="H3" s="22"/>
      <c r="I3" s="22"/>
      <c r="J3" s="22"/>
      <c r="K3" s="22"/>
    </row>
    <row r="4" spans="1:11" ht="23.25" customHeight="1">
      <c r="A4" s="287" t="s">
        <v>320</v>
      </c>
      <c r="B4" s="287"/>
      <c r="C4" s="62">
        <v>0</v>
      </c>
    </row>
    <row r="5" spans="1:11" ht="23.25" customHeight="1">
      <c r="A5" s="24">
        <v>1</v>
      </c>
      <c r="B5" s="34" t="s">
        <v>321</v>
      </c>
      <c r="C5" s="55"/>
    </row>
    <row r="6" spans="1:11" ht="21" customHeight="1">
      <c r="A6" s="24">
        <v>2</v>
      </c>
      <c r="B6" s="34" t="s">
        <v>252</v>
      </c>
      <c r="C6" s="55"/>
    </row>
    <row r="7" spans="1:11" ht="17.25" customHeight="1">
      <c r="A7" s="24">
        <v>3</v>
      </c>
      <c r="B7" s="34" t="s">
        <v>77</v>
      </c>
      <c r="C7" s="55"/>
    </row>
    <row r="8" spans="1:11" ht="31.5">
      <c r="A8" s="24">
        <v>4</v>
      </c>
      <c r="B8" s="55" t="s">
        <v>322</v>
      </c>
      <c r="C8" s="55"/>
    </row>
    <row r="9" spans="1:11" ht="18.75" customHeight="1">
      <c r="A9" s="24">
        <v>5</v>
      </c>
      <c r="B9" s="55" t="s">
        <v>323</v>
      </c>
      <c r="C9" s="55"/>
    </row>
    <row r="10" spans="1:11" ht="37.5" customHeight="1">
      <c r="A10" s="24">
        <v>6</v>
      </c>
      <c r="B10" s="55" t="s">
        <v>324</v>
      </c>
      <c r="C10" s="55"/>
    </row>
    <row r="11" spans="1:11" s="21" customFormat="1" ht="27" customHeight="1">
      <c r="A11" s="287" t="s">
        <v>253</v>
      </c>
      <c r="B11" s="287"/>
      <c r="C11" s="63">
        <v>0</v>
      </c>
      <c r="D11" s="26"/>
    </row>
    <row r="12" spans="1:11" s="21" customFormat="1" ht="31.5">
      <c r="A12" s="24">
        <v>1</v>
      </c>
      <c r="B12" s="34" t="s">
        <v>325</v>
      </c>
      <c r="C12" s="55"/>
      <c r="D12" s="25"/>
    </row>
    <row r="13" spans="1:11" s="21" customFormat="1" ht="47.25">
      <c r="A13" s="24">
        <v>2</v>
      </c>
      <c r="B13" s="34" t="s">
        <v>326</v>
      </c>
      <c r="C13" s="55"/>
      <c r="D13" s="25"/>
    </row>
    <row r="14" spans="1:11" s="21" customFormat="1" ht="47.25">
      <c r="A14" s="24">
        <v>3</v>
      </c>
      <c r="B14" s="55" t="s">
        <v>327</v>
      </c>
      <c r="C14" s="55"/>
      <c r="D14" s="25"/>
    </row>
    <row r="15" spans="1:11" s="21" customFormat="1" ht="31.5">
      <c r="A15" s="24">
        <v>4</v>
      </c>
      <c r="B15" s="55" t="s">
        <v>328</v>
      </c>
      <c r="C15" s="55"/>
    </row>
    <row r="16" spans="1:11" s="21" customFormat="1" ht="31.5">
      <c r="A16" s="24">
        <v>5</v>
      </c>
      <c r="B16" s="55" t="s">
        <v>329</v>
      </c>
      <c r="C16" s="55"/>
    </row>
    <row r="17" spans="1:3" s="21" customFormat="1" ht="47.25">
      <c r="A17" s="24">
        <v>6</v>
      </c>
      <c r="B17" s="55" t="s">
        <v>330</v>
      </c>
      <c r="C17" s="55"/>
    </row>
    <row r="18" spans="1:3" s="21" customFormat="1" ht="47.25">
      <c r="A18" s="24">
        <v>7</v>
      </c>
      <c r="B18" s="55" t="s">
        <v>331</v>
      </c>
      <c r="C18" s="55"/>
    </row>
    <row r="19" spans="1:3" s="21" customFormat="1" ht="31.5">
      <c r="A19" s="24">
        <v>8</v>
      </c>
      <c r="B19" s="55" t="s">
        <v>332</v>
      </c>
      <c r="C19" s="55"/>
    </row>
    <row r="20" spans="1:3" s="21" customFormat="1" ht="31.5">
      <c r="A20" s="24">
        <v>9</v>
      </c>
      <c r="B20" s="55" t="s">
        <v>333</v>
      </c>
      <c r="C20" s="55"/>
    </row>
    <row r="21" spans="1:3" s="21" customFormat="1" ht="31.5">
      <c r="A21" s="24">
        <v>10</v>
      </c>
      <c r="B21" s="34" t="s">
        <v>334</v>
      </c>
      <c r="C21" s="55"/>
    </row>
    <row r="22" spans="1:3" s="21" customFormat="1" ht="31.5">
      <c r="A22" s="24">
        <v>11</v>
      </c>
      <c r="B22" s="55" t="s">
        <v>335</v>
      </c>
      <c r="C22" s="55"/>
    </row>
    <row r="23" spans="1:3" s="21" customFormat="1" ht="31.5">
      <c r="A23" s="24">
        <v>12</v>
      </c>
      <c r="B23" s="55" t="s">
        <v>336</v>
      </c>
      <c r="C23" s="55"/>
    </row>
    <row r="24" spans="1:3" s="21" customFormat="1" ht="30.75" customHeight="1">
      <c r="A24" s="288" t="s">
        <v>59</v>
      </c>
      <c r="B24" s="288"/>
      <c r="C24" s="61">
        <f>SUM(C4:C23)</f>
        <v>0</v>
      </c>
    </row>
    <row r="25" spans="1:3" s="21" customFormat="1">
      <c r="A25" s="32"/>
      <c r="B25" s="32"/>
      <c r="C25" s="28"/>
    </row>
  </sheetData>
  <mergeCells count="6">
    <mergeCell ref="A1:C1"/>
    <mergeCell ref="B2:C2"/>
    <mergeCell ref="A4:B4"/>
    <mergeCell ref="A11:B11"/>
    <mergeCell ref="A24:B24"/>
    <mergeCell ref="A3:C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55" zoomScaleNormal="55" workbookViewId="0">
      <pane ySplit="2" topLeftCell="A3" activePane="bottomLeft" state="frozen"/>
      <selection pane="bottomLeft" activeCell="C11" sqref="C11:J11"/>
    </sheetView>
  </sheetViews>
  <sheetFormatPr baseColWidth="10" defaultRowHeight="15.75"/>
  <cols>
    <col min="1" max="1" width="4.5703125" style="12" customWidth="1"/>
    <col min="2" max="2" width="30.85546875" style="32" customWidth="1"/>
    <col min="3" max="3" width="13.28515625" style="9" customWidth="1"/>
    <col min="4" max="4" width="14.5703125" style="9" customWidth="1"/>
    <col min="5" max="7" width="13.28515625" style="10" customWidth="1"/>
    <col min="8" max="9" width="13.28515625" style="11" customWidth="1"/>
    <col min="10" max="10" width="13.28515625" style="1" customWidth="1"/>
    <col min="11" max="13" width="11.42578125" style="1"/>
  </cols>
  <sheetData>
    <row r="1" spans="1:13" ht="94.5" customHeight="1">
      <c r="A1" s="188" t="s">
        <v>391</v>
      </c>
      <c r="B1" s="188"/>
      <c r="C1" s="188"/>
      <c r="D1" s="188"/>
      <c r="E1" s="188"/>
      <c r="F1" s="188"/>
      <c r="G1" s="188"/>
      <c r="H1" s="188"/>
      <c r="I1" s="188"/>
      <c r="J1" s="188"/>
    </row>
    <row r="2" spans="1:13" s="105" customFormat="1" ht="129.75" customHeight="1">
      <c r="A2" s="187" t="s">
        <v>392</v>
      </c>
      <c r="B2" s="187"/>
      <c r="C2" s="187"/>
      <c r="D2" s="187"/>
      <c r="E2" s="187"/>
      <c r="F2" s="187"/>
      <c r="G2" s="187"/>
      <c r="H2" s="187"/>
      <c r="I2" s="187"/>
      <c r="J2" s="187"/>
      <c r="K2" s="104"/>
      <c r="L2" s="104"/>
      <c r="M2" s="104"/>
    </row>
    <row r="3" spans="1:13" s="105" customFormat="1">
      <c r="A3" s="175"/>
      <c r="B3" s="175"/>
      <c r="C3" s="175"/>
      <c r="D3" s="175"/>
      <c r="E3" s="175"/>
      <c r="F3" s="175"/>
      <c r="G3" s="175"/>
      <c r="H3" s="175"/>
      <c r="I3" s="175"/>
      <c r="J3" s="175"/>
      <c r="K3" s="104"/>
      <c r="L3" s="104"/>
      <c r="M3" s="104"/>
    </row>
    <row r="4" spans="1:13" s="105" customFormat="1" ht="16.5" customHeight="1">
      <c r="A4" s="185" t="s">
        <v>393</v>
      </c>
      <c r="B4" s="185"/>
      <c r="C4" s="185"/>
      <c r="D4" s="185"/>
      <c r="E4" s="185"/>
      <c r="F4" s="185"/>
      <c r="G4" s="185"/>
      <c r="H4" s="185"/>
      <c r="I4" s="185"/>
      <c r="J4" s="185"/>
      <c r="K4" s="104"/>
      <c r="L4" s="104"/>
      <c r="M4" s="104"/>
    </row>
    <row r="5" spans="1:13" s="105" customFormat="1" ht="15" customHeight="1">
      <c r="A5" s="214" t="s">
        <v>394</v>
      </c>
      <c r="B5" s="214"/>
      <c r="C5" s="194"/>
      <c r="D5" s="194"/>
      <c r="E5" s="215" t="s">
        <v>395</v>
      </c>
      <c r="F5" s="215"/>
      <c r="G5" s="215"/>
      <c r="H5" s="184"/>
      <c r="I5" s="184"/>
      <c r="J5" s="184"/>
      <c r="K5" s="104"/>
      <c r="L5" s="104"/>
      <c r="M5" s="104"/>
    </row>
    <row r="6" spans="1:13" s="107" customFormat="1" ht="31.5" customHeight="1">
      <c r="A6" s="186" t="s">
        <v>396</v>
      </c>
      <c r="B6" s="186"/>
      <c r="C6" s="197" t="s">
        <v>397</v>
      </c>
      <c r="D6" s="197"/>
      <c r="E6" s="197"/>
      <c r="F6" s="197"/>
      <c r="G6" s="196" t="s">
        <v>398</v>
      </c>
      <c r="H6" s="196"/>
      <c r="I6" s="196"/>
      <c r="J6" s="196"/>
      <c r="K6" s="106"/>
      <c r="L6" s="106"/>
      <c r="M6" s="106"/>
    </row>
    <row r="7" spans="1:13" s="107" customFormat="1">
      <c r="A7" s="186" t="s">
        <v>399</v>
      </c>
      <c r="B7" s="186"/>
      <c r="C7" s="195"/>
      <c r="D7" s="195"/>
      <c r="E7" s="195"/>
      <c r="F7" s="195"/>
      <c r="G7" s="195"/>
      <c r="H7" s="195"/>
      <c r="I7" s="195"/>
      <c r="J7" s="195"/>
      <c r="K7" s="106"/>
      <c r="L7" s="106"/>
      <c r="M7" s="106"/>
    </row>
    <row r="8" spans="1:13" s="107" customFormat="1" ht="15" customHeight="1">
      <c r="A8" s="186" t="s">
        <v>400</v>
      </c>
      <c r="B8" s="186"/>
      <c r="C8" s="194"/>
      <c r="D8" s="194"/>
      <c r="E8" s="194"/>
      <c r="F8" s="194"/>
      <c r="G8" s="194"/>
      <c r="H8" s="194"/>
      <c r="I8" s="194"/>
      <c r="J8" s="194"/>
      <c r="K8" s="106"/>
      <c r="L8" s="106"/>
      <c r="M8" s="106"/>
    </row>
    <row r="9" spans="1:13" s="107" customFormat="1" ht="15.75" customHeight="1">
      <c r="A9" s="115" t="s">
        <v>401</v>
      </c>
      <c r="B9" s="116"/>
      <c r="C9" s="194"/>
      <c r="D9" s="194"/>
      <c r="E9" s="194"/>
      <c r="F9" s="194"/>
      <c r="G9" s="194"/>
      <c r="H9" s="194"/>
      <c r="I9" s="194"/>
      <c r="J9" s="194"/>
      <c r="K9" s="106"/>
      <c r="L9" s="106"/>
      <c r="M9" s="106"/>
    </row>
    <row r="10" spans="1:13" s="107" customFormat="1" ht="15.75" customHeight="1">
      <c r="A10" s="186" t="s">
        <v>402</v>
      </c>
      <c r="B10" s="186"/>
      <c r="C10" s="194"/>
      <c r="D10" s="194"/>
      <c r="E10" s="194"/>
      <c r="F10" s="194"/>
      <c r="G10" s="194"/>
      <c r="H10" s="194"/>
      <c r="I10" s="194"/>
      <c r="J10" s="194"/>
      <c r="K10" s="106"/>
      <c r="L10" s="106"/>
      <c r="M10" s="106"/>
    </row>
    <row r="11" spans="1:13" s="107" customFormat="1" ht="15.75" customHeight="1">
      <c r="A11" s="186" t="s">
        <v>403</v>
      </c>
      <c r="B11" s="186"/>
      <c r="C11" s="194"/>
      <c r="D11" s="194"/>
      <c r="E11" s="194"/>
      <c r="F11" s="194"/>
      <c r="G11" s="194"/>
      <c r="H11" s="194"/>
      <c r="I11" s="194"/>
      <c r="J11" s="194"/>
      <c r="K11" s="106"/>
      <c r="L11" s="106"/>
      <c r="M11" s="106"/>
    </row>
    <row r="12" spans="1:13" s="107" customFormat="1" ht="15.75" customHeight="1">
      <c r="A12" s="186" t="s">
        <v>404</v>
      </c>
      <c r="B12" s="186"/>
      <c r="C12" s="194"/>
      <c r="D12" s="194"/>
      <c r="E12" s="194"/>
      <c r="F12" s="194"/>
      <c r="G12" s="194"/>
      <c r="H12" s="194"/>
      <c r="I12" s="194"/>
      <c r="J12" s="194"/>
      <c r="K12" s="106"/>
      <c r="L12" s="106"/>
      <c r="M12" s="106"/>
    </row>
    <row r="13" spans="1:13" s="107" customFormat="1" ht="15.75" customHeight="1">
      <c r="A13" s="186" t="s">
        <v>405</v>
      </c>
      <c r="B13" s="186"/>
      <c r="C13" s="194"/>
      <c r="D13" s="194"/>
      <c r="E13" s="194"/>
      <c r="F13" s="194"/>
      <c r="G13" s="194"/>
      <c r="H13" s="194"/>
      <c r="I13" s="194"/>
      <c r="J13" s="194"/>
      <c r="K13" s="106"/>
      <c r="L13" s="106"/>
      <c r="M13" s="106"/>
    </row>
    <row r="14" spans="1:13" s="107" customFormat="1" ht="15.75" customHeight="1">
      <c r="A14" s="186" t="s">
        <v>406</v>
      </c>
      <c r="B14" s="186"/>
      <c r="C14" s="194"/>
      <c r="D14" s="194"/>
      <c r="E14" s="194"/>
      <c r="F14" s="194"/>
      <c r="G14" s="194"/>
      <c r="H14" s="194"/>
      <c r="I14" s="194"/>
      <c r="J14" s="194"/>
      <c r="K14" s="106"/>
      <c r="L14" s="106"/>
      <c r="M14" s="106"/>
    </row>
    <row r="15" spans="1:13" s="107" customFormat="1" ht="15.75" customHeight="1">
      <c r="A15" s="186" t="s">
        <v>407</v>
      </c>
      <c r="B15" s="186"/>
      <c r="C15" s="194"/>
      <c r="D15" s="194"/>
      <c r="E15" s="194"/>
      <c r="F15" s="194"/>
      <c r="G15" s="194"/>
      <c r="H15" s="194"/>
      <c r="I15" s="194"/>
      <c r="J15" s="194"/>
      <c r="K15" s="106"/>
      <c r="L15" s="106"/>
      <c r="M15" s="106"/>
    </row>
    <row r="16" spans="1:13" s="107" customFormat="1" ht="33" customHeight="1">
      <c r="A16" s="212" t="s">
        <v>408</v>
      </c>
      <c r="B16" s="212"/>
      <c r="C16" s="117" t="s">
        <v>409</v>
      </c>
      <c r="D16" s="117"/>
      <c r="E16" s="118" t="s">
        <v>410</v>
      </c>
      <c r="F16" s="111"/>
      <c r="G16" s="117" t="s">
        <v>411</v>
      </c>
      <c r="H16" s="111"/>
      <c r="I16" s="118" t="s">
        <v>412</v>
      </c>
      <c r="J16" s="119"/>
      <c r="L16" s="110"/>
      <c r="M16" s="106"/>
    </row>
    <row r="17" spans="1:13" s="107" customFormat="1" ht="15.75" customHeight="1">
      <c r="A17" s="189"/>
      <c r="B17" s="189"/>
      <c r="C17" s="189"/>
      <c r="D17" s="189"/>
      <c r="E17" s="189"/>
      <c r="F17" s="189"/>
      <c r="G17" s="189"/>
      <c r="H17" s="189"/>
      <c r="I17" s="189"/>
      <c r="J17" s="189"/>
      <c r="K17" s="106"/>
      <c r="L17" s="106"/>
      <c r="M17" s="106"/>
    </row>
    <row r="18" spans="1:13" s="107" customFormat="1" ht="31.5" customHeight="1">
      <c r="A18" s="190" t="s">
        <v>413</v>
      </c>
      <c r="B18" s="190"/>
      <c r="C18" s="120" t="s">
        <v>414</v>
      </c>
      <c r="D18" s="121"/>
      <c r="E18" s="117" t="s">
        <v>415</v>
      </c>
      <c r="F18" s="112"/>
      <c r="G18" s="191" t="s">
        <v>416</v>
      </c>
      <c r="H18" s="192"/>
      <c r="I18" s="193"/>
      <c r="J18" s="118"/>
      <c r="K18" s="106"/>
      <c r="L18" s="106"/>
      <c r="M18" s="106"/>
    </row>
    <row r="19" spans="1:13" s="107" customFormat="1" ht="15.75" customHeight="1">
      <c r="A19" s="213" t="s">
        <v>417</v>
      </c>
      <c r="B19" s="213"/>
      <c r="C19" s="186" t="s">
        <v>418</v>
      </c>
      <c r="D19" s="186"/>
      <c r="E19" s="194"/>
      <c r="F19" s="194"/>
      <c r="G19" s="194"/>
      <c r="H19" s="194"/>
      <c r="I19" s="194"/>
      <c r="J19" s="194"/>
      <c r="K19" s="106"/>
      <c r="L19" s="106"/>
      <c r="M19" s="106"/>
    </row>
    <row r="20" spans="1:13" s="107" customFormat="1" ht="16.5">
      <c r="A20" s="213"/>
      <c r="B20" s="213"/>
      <c r="C20" s="186" t="s">
        <v>419</v>
      </c>
      <c r="D20" s="186"/>
      <c r="E20" s="210"/>
      <c r="F20" s="210"/>
      <c r="G20" s="210"/>
      <c r="H20" s="210"/>
      <c r="I20" s="210"/>
      <c r="J20" s="210"/>
      <c r="K20" s="106"/>
      <c r="L20" s="106"/>
      <c r="M20" s="106"/>
    </row>
    <row r="21" spans="1:13" s="107" customFormat="1" ht="15.75" customHeight="1">
      <c r="A21" s="213"/>
      <c r="B21" s="213"/>
      <c r="C21" s="186" t="s">
        <v>420</v>
      </c>
      <c r="D21" s="186"/>
      <c r="E21" s="211"/>
      <c r="F21" s="211"/>
      <c r="G21" s="211"/>
      <c r="H21" s="211"/>
      <c r="I21" s="211"/>
      <c r="J21" s="211"/>
      <c r="K21" s="106"/>
      <c r="L21" s="106"/>
      <c r="M21" s="106"/>
    </row>
    <row r="22" spans="1:13" s="107" customFormat="1" ht="15.75" customHeight="1">
      <c r="A22" s="213"/>
      <c r="B22" s="213"/>
      <c r="C22" s="186" t="s">
        <v>421</v>
      </c>
      <c r="D22" s="186"/>
      <c r="E22" s="179"/>
      <c r="F22" s="179"/>
      <c r="G22" s="179"/>
      <c r="H22" s="179"/>
      <c r="I22" s="179"/>
      <c r="J22" s="179"/>
      <c r="K22" s="106"/>
      <c r="L22" s="106"/>
      <c r="M22" s="106"/>
    </row>
    <row r="23" spans="1:13" s="107" customFormat="1">
      <c r="A23" s="213"/>
      <c r="B23" s="213"/>
      <c r="C23" s="186" t="s">
        <v>422</v>
      </c>
      <c r="D23" s="186"/>
      <c r="E23" s="178"/>
      <c r="F23" s="178"/>
      <c r="G23" s="178"/>
      <c r="H23" s="178"/>
      <c r="I23" s="178"/>
      <c r="J23" s="178"/>
      <c r="K23" s="106"/>
      <c r="L23" s="106"/>
      <c r="M23" s="106"/>
    </row>
    <row r="24" spans="1:13" s="107" customFormat="1" ht="15.75" customHeight="1">
      <c r="A24" s="213"/>
      <c r="B24" s="213"/>
      <c r="C24" s="115" t="s">
        <v>423</v>
      </c>
      <c r="D24" s="115"/>
      <c r="E24" s="179"/>
      <c r="F24" s="179"/>
      <c r="G24" s="179"/>
      <c r="H24" s="179"/>
      <c r="I24" s="179"/>
      <c r="J24" s="179"/>
      <c r="K24" s="106"/>
      <c r="L24" s="106"/>
      <c r="M24" s="106"/>
    </row>
    <row r="25" spans="1:13" s="107" customFormat="1" ht="16.5">
      <c r="A25" s="180" t="s">
        <v>424</v>
      </c>
      <c r="B25" s="180"/>
      <c r="C25" s="180"/>
      <c r="D25" s="180"/>
      <c r="E25" s="180"/>
      <c r="F25" s="180"/>
      <c r="G25" s="180"/>
      <c r="H25" s="180"/>
      <c r="I25" s="180"/>
      <c r="J25" s="180"/>
      <c r="K25" s="106"/>
      <c r="L25" s="106"/>
      <c r="M25" s="106"/>
    </row>
    <row r="26" spans="1:13" s="109" customFormat="1" ht="15" customHeight="1">
      <c r="A26" s="176" t="s">
        <v>425</v>
      </c>
      <c r="B26" s="176"/>
      <c r="C26" s="181"/>
      <c r="D26" s="182"/>
      <c r="E26" s="182"/>
      <c r="F26" s="182"/>
      <c r="G26" s="182"/>
      <c r="H26" s="182"/>
      <c r="I26" s="182"/>
      <c r="J26" s="183"/>
      <c r="K26" s="108"/>
      <c r="L26" s="108"/>
      <c r="M26" s="108"/>
    </row>
    <row r="27" spans="1:13" s="109" customFormat="1" ht="15" customHeight="1">
      <c r="A27" s="176" t="s">
        <v>426</v>
      </c>
      <c r="B27" s="176"/>
      <c r="C27" s="207"/>
      <c r="D27" s="208"/>
      <c r="E27" s="208"/>
      <c r="F27" s="208"/>
      <c r="G27" s="208"/>
      <c r="H27" s="208"/>
      <c r="I27" s="208"/>
      <c r="J27" s="209"/>
      <c r="K27" s="108"/>
      <c r="L27" s="108"/>
      <c r="M27" s="108"/>
    </row>
    <row r="28" spans="1:13" s="109" customFormat="1" ht="16.5">
      <c r="A28" s="176" t="s">
        <v>404</v>
      </c>
      <c r="B28" s="176"/>
      <c r="C28" s="207"/>
      <c r="D28" s="208"/>
      <c r="E28" s="208"/>
      <c r="F28" s="208"/>
      <c r="G28" s="208"/>
      <c r="H28" s="208"/>
      <c r="I28" s="208"/>
      <c r="J28" s="209"/>
      <c r="K28" s="108"/>
      <c r="L28" s="108"/>
      <c r="M28" s="108"/>
    </row>
    <row r="29" spans="1:13" s="109" customFormat="1" ht="14.25" customHeight="1">
      <c r="A29" s="176" t="s">
        <v>427</v>
      </c>
      <c r="B29" s="176"/>
      <c r="C29" s="207"/>
      <c r="D29" s="208"/>
      <c r="E29" s="208"/>
      <c r="F29" s="208"/>
      <c r="G29" s="208"/>
      <c r="H29" s="208"/>
      <c r="I29" s="208"/>
      <c r="J29" s="209"/>
      <c r="K29" s="108"/>
      <c r="L29" s="108"/>
      <c r="M29" s="108"/>
    </row>
    <row r="30" spans="1:13" s="109" customFormat="1" ht="14.25" customHeight="1">
      <c r="A30" s="176" t="s">
        <v>407</v>
      </c>
      <c r="B30" s="176"/>
      <c r="C30" s="198"/>
      <c r="D30" s="199"/>
      <c r="E30" s="199"/>
      <c r="F30" s="199"/>
      <c r="G30" s="199"/>
      <c r="H30" s="199"/>
      <c r="I30" s="199"/>
      <c r="J30" s="200"/>
      <c r="K30" s="108"/>
      <c r="L30" s="108"/>
      <c r="M30" s="108"/>
    </row>
    <row r="31" spans="1:13" s="109" customFormat="1" ht="14.25" customHeight="1">
      <c r="A31" s="176" t="s">
        <v>428</v>
      </c>
      <c r="B31" s="176"/>
      <c r="C31" s="198"/>
      <c r="D31" s="199"/>
      <c r="E31" s="199"/>
      <c r="F31" s="199"/>
      <c r="G31" s="199"/>
      <c r="H31" s="199"/>
      <c r="I31" s="199"/>
      <c r="J31" s="200"/>
      <c r="K31" s="108"/>
      <c r="L31" s="108"/>
      <c r="M31" s="108"/>
    </row>
    <row r="32" spans="1:13" s="109" customFormat="1" ht="14.25" customHeight="1">
      <c r="A32" s="176" t="s">
        <v>429</v>
      </c>
      <c r="B32" s="176"/>
      <c r="C32" s="198"/>
      <c r="D32" s="199"/>
      <c r="E32" s="199"/>
      <c r="F32" s="199"/>
      <c r="G32" s="199"/>
      <c r="H32" s="199"/>
      <c r="I32" s="199"/>
      <c r="J32" s="200"/>
      <c r="K32" s="108"/>
      <c r="L32" s="108"/>
      <c r="M32" s="108"/>
    </row>
    <row r="33" spans="1:13" s="109" customFormat="1" ht="15.75" customHeight="1">
      <c r="A33" s="180" t="s">
        <v>45</v>
      </c>
      <c r="B33" s="180"/>
      <c r="C33" s="180"/>
      <c r="D33" s="180"/>
      <c r="E33" s="180"/>
      <c r="F33" s="180"/>
      <c r="G33" s="180"/>
      <c r="H33" s="180"/>
      <c r="I33" s="180"/>
      <c r="J33" s="180"/>
      <c r="K33" s="108"/>
      <c r="L33" s="108"/>
      <c r="M33" s="108"/>
    </row>
    <row r="34" spans="1:13" s="109" customFormat="1" ht="16.5">
      <c r="A34" s="201" t="s">
        <v>430</v>
      </c>
      <c r="B34" s="180"/>
      <c r="C34" s="180"/>
      <c r="D34" s="180"/>
      <c r="E34" s="202"/>
      <c r="F34" s="205" t="s">
        <v>46</v>
      </c>
      <c r="G34" s="205"/>
      <c r="H34" s="205"/>
      <c r="I34" s="201" t="s">
        <v>13</v>
      </c>
      <c r="J34" s="202"/>
      <c r="K34" s="108"/>
      <c r="L34" s="108"/>
      <c r="M34" s="108"/>
    </row>
    <row r="35" spans="1:13" s="109" customFormat="1" ht="15.75" customHeight="1">
      <c r="A35" s="203"/>
      <c r="B35" s="206"/>
      <c r="C35" s="206"/>
      <c r="D35" s="206"/>
      <c r="E35" s="204"/>
      <c r="F35" s="132" t="s">
        <v>43</v>
      </c>
      <c r="G35" s="133" t="s">
        <v>44</v>
      </c>
      <c r="H35" s="132" t="s">
        <v>431</v>
      </c>
      <c r="I35" s="203"/>
      <c r="J35" s="204"/>
      <c r="K35" s="108"/>
      <c r="L35" s="108"/>
      <c r="M35" s="108"/>
    </row>
    <row r="36" spans="1:13" s="109" customFormat="1" ht="15.75" customHeight="1">
      <c r="A36" s="196" t="s">
        <v>432</v>
      </c>
      <c r="B36" s="196"/>
      <c r="C36" s="196"/>
      <c r="D36" s="196"/>
      <c r="E36" s="196"/>
      <c r="F36" s="122"/>
      <c r="G36" s="122"/>
      <c r="H36" s="123"/>
      <c r="I36" s="123"/>
      <c r="J36" s="123"/>
      <c r="K36" s="108"/>
      <c r="L36" s="108"/>
      <c r="M36" s="108"/>
    </row>
    <row r="37" spans="1:13" s="109" customFormat="1" ht="15.75" customHeight="1">
      <c r="A37" s="196" t="s">
        <v>433</v>
      </c>
      <c r="B37" s="196"/>
      <c r="C37" s="196"/>
      <c r="D37" s="196"/>
      <c r="E37" s="196"/>
      <c r="F37" s="124"/>
      <c r="G37" s="124"/>
      <c r="H37" s="124"/>
      <c r="I37" s="124"/>
      <c r="J37" s="123"/>
      <c r="K37" s="108"/>
      <c r="L37" s="108"/>
      <c r="M37" s="108"/>
    </row>
    <row r="38" spans="1:13" s="109" customFormat="1">
      <c r="A38" s="176" t="s">
        <v>434</v>
      </c>
      <c r="B38" s="176"/>
      <c r="C38" s="176"/>
      <c r="D38" s="176"/>
      <c r="E38" s="176"/>
      <c r="F38" s="122"/>
      <c r="G38" s="122"/>
      <c r="H38" s="123"/>
      <c r="I38" s="123"/>
      <c r="J38" s="123"/>
      <c r="K38" s="108"/>
      <c r="L38" s="108"/>
      <c r="M38" s="108"/>
    </row>
    <row r="39" spans="1:13" s="109" customFormat="1" ht="15.75" customHeight="1">
      <c r="A39" s="176" t="s">
        <v>435</v>
      </c>
      <c r="B39" s="176"/>
      <c r="C39" s="176"/>
      <c r="D39" s="176"/>
      <c r="E39" s="176"/>
      <c r="F39" s="124"/>
      <c r="G39" s="124"/>
      <c r="H39" s="124"/>
      <c r="I39" s="124"/>
      <c r="J39" s="123"/>
      <c r="K39" s="108"/>
      <c r="L39" s="108"/>
      <c r="M39" s="108"/>
    </row>
    <row r="40" spans="1:13" s="109" customFormat="1" ht="15.75" customHeight="1">
      <c r="A40" s="176" t="s">
        <v>436</v>
      </c>
      <c r="B40" s="176"/>
      <c r="C40" s="176"/>
      <c r="D40" s="176"/>
      <c r="E40" s="176"/>
      <c r="F40" s="122"/>
      <c r="G40" s="122"/>
      <c r="H40" s="123"/>
      <c r="I40" s="123"/>
      <c r="J40" s="123"/>
      <c r="K40" s="108"/>
      <c r="L40" s="108"/>
      <c r="M40" s="108"/>
    </row>
    <row r="41" spans="1:13" s="109" customFormat="1" ht="15.75" customHeight="1">
      <c r="A41" s="176" t="s">
        <v>437</v>
      </c>
      <c r="B41" s="176"/>
      <c r="C41" s="176"/>
      <c r="D41" s="176"/>
      <c r="E41" s="176"/>
      <c r="F41" s="122"/>
      <c r="G41" s="122"/>
      <c r="H41" s="123"/>
      <c r="I41" s="123"/>
      <c r="J41" s="123"/>
      <c r="K41" s="108"/>
      <c r="L41" s="108"/>
      <c r="M41" s="108"/>
    </row>
    <row r="42" spans="1:13" s="109" customFormat="1" ht="15.75" customHeight="1">
      <c r="A42" s="176" t="s">
        <v>438</v>
      </c>
      <c r="B42" s="176"/>
      <c r="C42" s="176"/>
      <c r="D42" s="176"/>
      <c r="E42" s="176"/>
      <c r="F42" s="122"/>
      <c r="G42" s="122"/>
      <c r="H42" s="123"/>
      <c r="I42" s="123"/>
      <c r="J42" s="123"/>
      <c r="K42" s="108"/>
      <c r="L42" s="108"/>
      <c r="M42" s="108"/>
    </row>
    <row r="43" spans="1:13" s="109" customFormat="1" ht="33" customHeight="1">
      <c r="A43" s="176" t="s">
        <v>439</v>
      </c>
      <c r="B43" s="176"/>
      <c r="C43" s="176"/>
      <c r="D43" s="176"/>
      <c r="E43" s="176"/>
      <c r="F43" s="122"/>
      <c r="G43" s="122"/>
      <c r="H43" s="123"/>
      <c r="I43" s="123"/>
      <c r="J43" s="123"/>
      <c r="K43" s="108"/>
      <c r="L43" s="108"/>
      <c r="M43" s="108"/>
    </row>
    <row r="44" spans="1:13" s="109" customFormat="1" ht="15" customHeight="1">
      <c r="A44" s="176" t="s">
        <v>440</v>
      </c>
      <c r="B44" s="176"/>
      <c r="C44" s="176"/>
      <c r="D44" s="176"/>
      <c r="E44" s="176"/>
      <c r="F44" s="122"/>
      <c r="G44" s="122"/>
      <c r="H44" s="123"/>
      <c r="I44" s="123"/>
      <c r="J44" s="123"/>
      <c r="K44" s="108"/>
      <c r="L44" s="108"/>
      <c r="M44" s="108"/>
    </row>
    <row r="45" spans="1:13" s="109" customFormat="1" ht="13.5" customHeight="1">
      <c r="A45" s="180"/>
      <c r="B45" s="180"/>
      <c r="C45" s="180"/>
      <c r="D45" s="180"/>
      <c r="E45" s="180"/>
      <c r="F45" s="180"/>
      <c r="G45" s="180"/>
      <c r="H45" s="180"/>
      <c r="I45" s="180"/>
      <c r="J45" s="180"/>
      <c r="K45" s="108"/>
      <c r="L45" s="108"/>
      <c r="M45" s="108"/>
    </row>
    <row r="46" spans="1:13" s="109" customFormat="1" ht="51.75" customHeight="1">
      <c r="A46" s="123"/>
      <c r="B46" s="176" t="s">
        <v>441</v>
      </c>
      <c r="C46" s="176"/>
      <c r="D46" s="176"/>
      <c r="E46" s="176"/>
      <c r="F46" s="176"/>
      <c r="G46" s="176"/>
      <c r="H46" s="176"/>
      <c r="I46" s="176"/>
      <c r="J46" s="176"/>
      <c r="K46" s="108"/>
      <c r="L46" s="108"/>
      <c r="M46" s="108"/>
    </row>
    <row r="47" spans="1:13" s="109" customFormat="1" ht="52.5" customHeight="1">
      <c r="A47" s="123"/>
      <c r="B47" s="176" t="s">
        <v>442</v>
      </c>
      <c r="C47" s="176"/>
      <c r="D47" s="176"/>
      <c r="E47" s="176"/>
      <c r="F47" s="176"/>
      <c r="G47" s="176"/>
      <c r="H47" s="176"/>
      <c r="I47" s="176"/>
      <c r="J47" s="176"/>
      <c r="K47" s="108"/>
      <c r="L47" s="108"/>
      <c r="M47" s="108"/>
    </row>
    <row r="48" spans="1:13" s="109" customFormat="1" ht="33.75" customHeight="1">
      <c r="A48" s="123"/>
      <c r="B48" s="176" t="s">
        <v>443</v>
      </c>
      <c r="C48" s="176"/>
      <c r="D48" s="176"/>
      <c r="E48" s="176"/>
      <c r="F48" s="176"/>
      <c r="G48" s="176"/>
      <c r="H48" s="176"/>
      <c r="I48" s="176"/>
      <c r="J48" s="176"/>
      <c r="K48" s="108"/>
      <c r="L48" s="108"/>
      <c r="M48" s="108"/>
    </row>
    <row r="49" spans="1:13" s="109" customFormat="1" ht="16.5">
      <c r="A49" s="125"/>
      <c r="B49" s="125"/>
      <c r="C49" s="126"/>
      <c r="D49" s="126"/>
      <c r="E49" s="126"/>
      <c r="F49" s="126"/>
      <c r="G49" s="126"/>
      <c r="H49" s="127"/>
      <c r="I49" s="127"/>
      <c r="J49" s="128"/>
      <c r="K49" s="108"/>
      <c r="L49" s="108"/>
      <c r="M49" s="108"/>
    </row>
    <row r="50" spans="1:13" s="109" customFormat="1" ht="13.5" customHeight="1">
      <c r="A50" s="177" t="s">
        <v>444</v>
      </c>
      <c r="B50" s="177"/>
      <c r="C50" s="177"/>
      <c r="D50" s="177"/>
      <c r="E50" s="177"/>
      <c r="F50" s="177"/>
      <c r="G50" s="177"/>
      <c r="H50" s="177"/>
      <c r="I50" s="177"/>
      <c r="J50" s="177"/>
      <c r="K50" s="108"/>
      <c r="L50" s="108"/>
      <c r="M50" s="108"/>
    </row>
    <row r="51" spans="1:13" s="109" customFormat="1" ht="13.5" customHeight="1">
      <c r="A51" s="172" t="s">
        <v>445</v>
      </c>
      <c r="B51" s="172"/>
      <c r="C51" s="172"/>
      <c r="D51" s="172"/>
      <c r="E51" s="172"/>
      <c r="F51" s="172"/>
      <c r="G51" s="172"/>
      <c r="H51" s="172"/>
      <c r="I51" s="172"/>
      <c r="J51" s="172"/>
      <c r="K51" s="108"/>
      <c r="L51" s="108"/>
      <c r="M51" s="108"/>
    </row>
    <row r="52" spans="1:13" s="107" customFormat="1" ht="16.5">
      <c r="A52" s="129"/>
      <c r="B52" s="129"/>
      <c r="C52" s="129"/>
      <c r="D52" s="129"/>
      <c r="E52" s="129"/>
      <c r="F52" s="129"/>
      <c r="G52" s="129"/>
      <c r="H52" s="129"/>
      <c r="I52" s="129"/>
      <c r="J52" s="130"/>
      <c r="K52" s="106"/>
      <c r="L52" s="106"/>
      <c r="M52" s="106"/>
    </row>
    <row r="53" spans="1:13" s="107" customFormat="1" ht="16.5">
      <c r="A53" s="173" t="s">
        <v>446</v>
      </c>
      <c r="B53" s="173"/>
      <c r="C53" s="173"/>
      <c r="D53" s="173"/>
      <c r="E53" s="173"/>
      <c r="F53" s="173"/>
      <c r="G53" s="173"/>
      <c r="H53" s="173"/>
      <c r="I53" s="173"/>
      <c r="J53" s="173"/>
      <c r="K53" s="106"/>
      <c r="L53" s="106"/>
      <c r="M53" s="106"/>
    </row>
    <row r="54" spans="1:13" s="107" customFormat="1" ht="50.25" customHeight="1">
      <c r="A54" s="131"/>
      <c r="B54" s="131"/>
      <c r="C54" s="131"/>
      <c r="D54" s="131"/>
      <c r="E54" s="131"/>
      <c r="F54" s="131"/>
      <c r="G54" s="131"/>
      <c r="H54" s="131"/>
      <c r="I54" s="131"/>
      <c r="J54" s="130"/>
      <c r="K54" s="106"/>
      <c r="L54" s="106"/>
      <c r="M54" s="106"/>
    </row>
    <row r="55" spans="1:13" s="107" customFormat="1" ht="16.5">
      <c r="A55" s="174" t="s">
        <v>447</v>
      </c>
      <c r="B55" s="174"/>
      <c r="C55" s="174"/>
      <c r="D55" s="174"/>
      <c r="E55" s="174"/>
      <c r="F55" s="174"/>
      <c r="G55" s="174"/>
      <c r="H55" s="174"/>
      <c r="I55" s="174"/>
      <c r="J55" s="174"/>
      <c r="K55" s="106"/>
      <c r="L55" s="106"/>
      <c r="M55" s="106"/>
    </row>
    <row r="56" spans="1:13" s="107" customFormat="1" ht="15">
      <c r="A56" s="114"/>
      <c r="B56" s="114"/>
      <c r="C56" s="114"/>
      <c r="D56" s="114"/>
      <c r="E56" s="114"/>
      <c r="F56" s="114"/>
      <c r="G56" s="114"/>
      <c r="H56" s="114"/>
      <c r="I56" s="114"/>
      <c r="J56" s="113"/>
      <c r="K56" s="106"/>
      <c r="L56" s="106"/>
      <c r="M56" s="106"/>
    </row>
    <row r="57" spans="1:13" s="107" customFormat="1" ht="15">
      <c r="A57" s="108"/>
      <c r="B57" s="108"/>
      <c r="C57" s="108"/>
      <c r="D57" s="108"/>
      <c r="E57" s="108"/>
      <c r="F57" s="108"/>
      <c r="G57" s="109"/>
      <c r="H57" s="109"/>
      <c r="I57" s="109"/>
      <c r="J57" s="106"/>
      <c r="K57" s="106"/>
      <c r="L57" s="106"/>
      <c r="M57" s="106"/>
    </row>
    <row r="58" spans="1:13" s="107" customFormat="1" ht="15">
      <c r="A58" s="108"/>
      <c r="B58" s="108"/>
      <c r="C58" s="108"/>
      <c r="D58" s="108"/>
      <c r="E58" s="108"/>
      <c r="F58" s="108"/>
      <c r="G58" s="109"/>
      <c r="H58" s="109"/>
      <c r="I58" s="109"/>
      <c r="J58" s="106"/>
      <c r="K58" s="106"/>
      <c r="L58" s="106"/>
      <c r="M58" s="106"/>
    </row>
    <row r="59" spans="1:13" s="107" customFormat="1" ht="15">
      <c r="A59" s="108"/>
      <c r="B59" s="108"/>
      <c r="C59" s="108"/>
      <c r="D59" s="108"/>
      <c r="E59" s="108"/>
      <c r="F59" s="108"/>
      <c r="G59" s="109"/>
      <c r="H59" s="109"/>
      <c r="I59" s="109"/>
      <c r="J59" s="106"/>
      <c r="K59" s="106"/>
      <c r="L59" s="106"/>
      <c r="M59" s="106"/>
    </row>
    <row r="60" spans="1:13" s="107" customFormat="1" ht="15">
      <c r="A60" s="108"/>
      <c r="B60" s="108"/>
      <c r="C60" s="108"/>
      <c r="D60" s="108"/>
      <c r="E60" s="108"/>
      <c r="F60" s="108"/>
      <c r="G60" s="109"/>
      <c r="H60" s="109"/>
      <c r="I60" s="109"/>
      <c r="J60" s="106"/>
      <c r="K60" s="106"/>
      <c r="L60" s="106"/>
      <c r="M60" s="106"/>
    </row>
    <row r="61" spans="1:13" s="107" customFormat="1" ht="15">
      <c r="A61" s="106"/>
      <c r="B61" s="106"/>
      <c r="C61" s="106"/>
      <c r="D61" s="106"/>
      <c r="E61" s="106"/>
      <c r="F61" s="106"/>
      <c r="J61" s="106"/>
      <c r="K61" s="106"/>
      <c r="L61" s="106"/>
      <c r="M61" s="106"/>
    </row>
  </sheetData>
  <mergeCells count="80">
    <mergeCell ref="A5:B5"/>
    <mergeCell ref="E5:G5"/>
    <mergeCell ref="A6:B6"/>
    <mergeCell ref="C5:D5"/>
    <mergeCell ref="E19:J19"/>
    <mergeCell ref="A13:B13"/>
    <mergeCell ref="A14:B14"/>
    <mergeCell ref="A15:B15"/>
    <mergeCell ref="A7:B7"/>
    <mergeCell ref="A8:B8"/>
    <mergeCell ref="A10:B10"/>
    <mergeCell ref="A11:B11"/>
    <mergeCell ref="E20:J20"/>
    <mergeCell ref="E21:J21"/>
    <mergeCell ref="E22:J22"/>
    <mergeCell ref="A16:B16"/>
    <mergeCell ref="A19:B24"/>
    <mergeCell ref="C19:D19"/>
    <mergeCell ref="C20:D20"/>
    <mergeCell ref="C21:D21"/>
    <mergeCell ref="C22:D22"/>
    <mergeCell ref="C23:D23"/>
    <mergeCell ref="C27:J27"/>
    <mergeCell ref="C28:J28"/>
    <mergeCell ref="C29:J29"/>
    <mergeCell ref="C30:J30"/>
    <mergeCell ref="C31:J31"/>
    <mergeCell ref="A27:B27"/>
    <mergeCell ref="A28:B28"/>
    <mergeCell ref="A29:B29"/>
    <mergeCell ref="A30:B30"/>
    <mergeCell ref="A31:B31"/>
    <mergeCell ref="A38:E38"/>
    <mergeCell ref="A39:E39"/>
    <mergeCell ref="A36:E36"/>
    <mergeCell ref="A37:E37"/>
    <mergeCell ref="A32:B32"/>
    <mergeCell ref="C32:J32"/>
    <mergeCell ref="A33:J33"/>
    <mergeCell ref="I34:J35"/>
    <mergeCell ref="F34:H34"/>
    <mergeCell ref="A34:E35"/>
    <mergeCell ref="A44:E44"/>
    <mergeCell ref="A45:J45"/>
    <mergeCell ref="A42:E42"/>
    <mergeCell ref="A43:E43"/>
    <mergeCell ref="A40:E40"/>
    <mergeCell ref="A41:E41"/>
    <mergeCell ref="A2:J2"/>
    <mergeCell ref="A1:J1"/>
    <mergeCell ref="A17:J17"/>
    <mergeCell ref="A18:B18"/>
    <mergeCell ref="G18:I18"/>
    <mergeCell ref="C15:J15"/>
    <mergeCell ref="C14:J14"/>
    <mergeCell ref="C13:J13"/>
    <mergeCell ref="C12:J12"/>
    <mergeCell ref="C11:J11"/>
    <mergeCell ref="C10:J10"/>
    <mergeCell ref="C9:J9"/>
    <mergeCell ref="C8:J8"/>
    <mergeCell ref="C7:J7"/>
    <mergeCell ref="G6:J6"/>
    <mergeCell ref="C6:F6"/>
    <mergeCell ref="A51:J51"/>
    <mergeCell ref="A53:J53"/>
    <mergeCell ref="A55:J55"/>
    <mergeCell ref="A3:J3"/>
    <mergeCell ref="B46:J46"/>
    <mergeCell ref="B47:J47"/>
    <mergeCell ref="B48:J48"/>
    <mergeCell ref="A50:J50"/>
    <mergeCell ref="E23:J23"/>
    <mergeCell ref="E24:J24"/>
    <mergeCell ref="A25:J25"/>
    <mergeCell ref="A26:B26"/>
    <mergeCell ref="C26:J26"/>
    <mergeCell ref="H5:J5"/>
    <mergeCell ref="A4:J4"/>
    <mergeCell ref="A12:B12"/>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4"/>
  <sheetViews>
    <sheetView topLeftCell="A38" workbookViewId="0">
      <selection activeCell="H44" sqref="H44"/>
    </sheetView>
  </sheetViews>
  <sheetFormatPr baseColWidth="10" defaultRowHeight="15"/>
  <cols>
    <col min="2" max="2" width="34.5703125" customWidth="1"/>
    <col min="3" max="3" width="22.5703125" customWidth="1"/>
    <col min="4" max="4" width="26.140625" customWidth="1"/>
  </cols>
  <sheetData>
    <row r="2" spans="2:5" ht="19.5" thickBot="1">
      <c r="B2" s="282" t="s">
        <v>339</v>
      </c>
      <c r="C2" s="282"/>
      <c r="D2" s="282"/>
    </row>
    <row r="3" spans="2:5" ht="15.75" thickBot="1">
      <c r="B3" s="64"/>
      <c r="C3" s="64"/>
      <c r="D3" s="64"/>
    </row>
    <row r="4" spans="2:5" ht="15.75" thickBot="1">
      <c r="B4" s="65" t="s">
        <v>340</v>
      </c>
      <c r="C4" s="66" t="s">
        <v>341</v>
      </c>
      <c r="D4" s="67" t="s">
        <v>342</v>
      </c>
    </row>
    <row r="5" spans="2:5" ht="15.75" thickBot="1">
      <c r="B5" s="68" t="s">
        <v>343</v>
      </c>
      <c r="C5" s="69">
        <v>0.1</v>
      </c>
      <c r="D5" s="70">
        <v>200</v>
      </c>
      <c r="E5" s="97"/>
    </row>
    <row r="6" spans="2:5" ht="15.75" thickBot="1">
      <c r="B6" s="71" t="s">
        <v>344</v>
      </c>
      <c r="C6" s="72">
        <v>0.05</v>
      </c>
      <c r="D6" s="96">
        <v>100</v>
      </c>
      <c r="E6" s="97"/>
    </row>
    <row r="7" spans="2:5" ht="15.75" thickBot="1">
      <c r="B7" s="68" t="s">
        <v>345</v>
      </c>
      <c r="C7" s="69">
        <v>0.1</v>
      </c>
      <c r="D7" s="70">
        <v>200</v>
      </c>
      <c r="E7" s="97"/>
    </row>
    <row r="8" spans="2:5" ht="15.75" thickBot="1">
      <c r="B8" s="71" t="s">
        <v>346</v>
      </c>
      <c r="C8" s="72">
        <v>0.02</v>
      </c>
      <c r="D8" s="96">
        <v>40</v>
      </c>
      <c r="E8" s="97"/>
    </row>
    <row r="9" spans="2:5" ht="15.75" thickBot="1">
      <c r="B9" s="68" t="s">
        <v>347</v>
      </c>
      <c r="C9" s="69">
        <v>0.1</v>
      </c>
      <c r="D9" s="70">
        <v>200</v>
      </c>
      <c r="E9" s="97"/>
    </row>
    <row r="10" spans="2:5" ht="15.75" thickBot="1">
      <c r="B10" s="71" t="s">
        <v>348</v>
      </c>
      <c r="C10" s="72">
        <v>0.15</v>
      </c>
      <c r="D10" s="96">
        <v>300.60000000000002</v>
      </c>
      <c r="E10" s="97"/>
    </row>
    <row r="11" spans="2:5" ht="15.75" thickBot="1">
      <c r="B11" s="68" t="s">
        <v>349</v>
      </c>
      <c r="C11" s="69">
        <v>0.13400000000000001</v>
      </c>
      <c r="D11" s="70">
        <v>267</v>
      </c>
      <c r="E11" s="97"/>
    </row>
    <row r="12" spans="2:5" ht="15.75" thickBot="1">
      <c r="B12" s="71" t="s">
        <v>350</v>
      </c>
      <c r="C12" s="72">
        <v>1.7000000000000001E-2</v>
      </c>
      <c r="D12" s="96">
        <v>33.4</v>
      </c>
      <c r="E12" s="97"/>
    </row>
    <row r="13" spans="2:5" ht="15.75" thickBot="1">
      <c r="B13" s="68" t="s">
        <v>351</v>
      </c>
      <c r="C13" s="69">
        <v>0.03</v>
      </c>
      <c r="D13" s="70">
        <v>60</v>
      </c>
      <c r="E13" s="97"/>
    </row>
    <row r="14" spans="2:5" ht="15.75" thickBot="1">
      <c r="B14" s="71" t="s">
        <v>352</v>
      </c>
      <c r="C14" s="72">
        <v>0.2</v>
      </c>
      <c r="D14" s="96">
        <v>400</v>
      </c>
      <c r="E14" s="97"/>
    </row>
    <row r="15" spans="2:5" ht="15.75" thickBot="1">
      <c r="B15" s="68" t="s">
        <v>353</v>
      </c>
      <c r="C15" s="69">
        <v>0.05</v>
      </c>
      <c r="D15" s="70">
        <v>99.5</v>
      </c>
      <c r="E15" s="97"/>
    </row>
    <row r="16" spans="2:5" ht="15.75" thickBot="1">
      <c r="B16" s="71" t="s">
        <v>234</v>
      </c>
      <c r="C16" s="72">
        <v>0.05</v>
      </c>
      <c r="D16" s="96">
        <v>99.5</v>
      </c>
      <c r="E16" s="97"/>
    </row>
    <row r="17" spans="2:4" ht="15.75" thickBot="1">
      <c r="B17" s="73" t="s">
        <v>354</v>
      </c>
      <c r="C17" s="74">
        <f>SUM(C5:C16)</f>
        <v>1.0010000000000001</v>
      </c>
      <c r="D17" s="73">
        <f>SUM(D5:D16)</f>
        <v>2000</v>
      </c>
    </row>
    <row r="20" spans="2:4" ht="18.75">
      <c r="B20" s="283" t="s">
        <v>355</v>
      </c>
      <c r="C20" s="283"/>
      <c r="D20" s="283"/>
    </row>
    <row r="21" spans="2:4" ht="15.75" thickBot="1"/>
    <row r="22" spans="2:4" ht="15.75" thickBot="1">
      <c r="B22" s="75" t="s">
        <v>356</v>
      </c>
      <c r="C22" s="76" t="s">
        <v>357</v>
      </c>
      <c r="D22" s="77" t="s">
        <v>358</v>
      </c>
    </row>
    <row r="23" spans="2:4" ht="15.75" thickBot="1">
      <c r="B23" s="78">
        <v>1</v>
      </c>
      <c r="C23" s="79" t="s">
        <v>359</v>
      </c>
      <c r="D23" s="79" t="s">
        <v>360</v>
      </c>
    </row>
    <row r="24" spans="2:4" ht="15.75" thickBot="1">
      <c r="B24" s="80">
        <v>2</v>
      </c>
      <c r="C24" s="81" t="s">
        <v>361</v>
      </c>
      <c r="D24" s="81" t="s">
        <v>362</v>
      </c>
    </row>
    <row r="25" spans="2:4" ht="15.75" thickBot="1">
      <c r="B25" s="78">
        <v>3</v>
      </c>
      <c r="C25" s="79" t="s">
        <v>363</v>
      </c>
      <c r="D25" s="79" t="s">
        <v>364</v>
      </c>
    </row>
    <row r="26" spans="2:4" ht="15.75" thickBot="1">
      <c r="B26" s="80">
        <v>4</v>
      </c>
      <c r="C26" s="81" t="s">
        <v>365</v>
      </c>
      <c r="D26" s="81" t="s">
        <v>366</v>
      </c>
    </row>
    <row r="27" spans="2:4" ht="15.75" thickBot="1">
      <c r="B27" s="78">
        <v>5</v>
      </c>
      <c r="C27" s="79" t="s">
        <v>367</v>
      </c>
      <c r="D27" s="79" t="s">
        <v>368</v>
      </c>
    </row>
    <row r="30" spans="2:4" ht="18.75">
      <c r="B30" s="283" t="s">
        <v>369</v>
      </c>
      <c r="C30" s="283"/>
      <c r="D30" s="283"/>
    </row>
    <row r="32" spans="2:4" ht="15.75">
      <c r="B32" s="284" t="s">
        <v>370</v>
      </c>
      <c r="C32" s="284"/>
      <c r="D32" s="284"/>
    </row>
    <row r="33" spans="2:4">
      <c r="B33" s="82"/>
    </row>
    <row r="34" spans="2:4" ht="52.5" customHeight="1">
      <c r="B34" s="281" t="s">
        <v>451</v>
      </c>
      <c r="C34" s="281"/>
      <c r="D34" s="281"/>
    </row>
    <row r="35" spans="2:4">
      <c r="B35" s="82"/>
    </row>
    <row r="36" spans="2:4" ht="54.75" customHeight="1">
      <c r="B36" s="281" t="s">
        <v>452</v>
      </c>
      <c r="C36" s="281"/>
      <c r="D36" s="281"/>
    </row>
    <row r="37" spans="2:4">
      <c r="B37" s="83"/>
      <c r="C37" s="84"/>
      <c r="D37" s="84"/>
    </row>
    <row r="38" spans="2:4" ht="51" customHeight="1">
      <c r="B38" s="281" t="s">
        <v>453</v>
      </c>
      <c r="C38" s="281"/>
      <c r="D38" s="281"/>
    </row>
    <row r="39" spans="2:4">
      <c r="B39" s="83"/>
      <c r="C39" s="84"/>
      <c r="D39" s="84"/>
    </row>
    <row r="40" spans="2:4" ht="54.75" customHeight="1">
      <c r="B40" s="281" t="s">
        <v>454</v>
      </c>
      <c r="C40" s="281"/>
      <c r="D40" s="281"/>
    </row>
    <row r="41" spans="2:4">
      <c r="B41" s="83"/>
      <c r="C41" s="84"/>
      <c r="D41" s="84"/>
    </row>
    <row r="42" spans="2:4" ht="51" customHeight="1">
      <c r="B42" s="281" t="s">
        <v>455</v>
      </c>
      <c r="C42" s="281"/>
      <c r="D42" s="281"/>
    </row>
    <row r="43" spans="2:4">
      <c r="B43" s="83"/>
      <c r="C43" s="83"/>
      <c r="D43" s="83"/>
    </row>
    <row r="44" spans="2:4" ht="15.75">
      <c r="B44" s="85"/>
      <c r="C44" s="86"/>
      <c r="D44" s="86"/>
    </row>
  </sheetData>
  <mergeCells count="9">
    <mergeCell ref="B38:D38"/>
    <mergeCell ref="B40:D40"/>
    <mergeCell ref="B42:D42"/>
    <mergeCell ref="B2:D2"/>
    <mergeCell ref="B20:D20"/>
    <mergeCell ref="B30:D30"/>
    <mergeCell ref="B32:D32"/>
    <mergeCell ref="B34:D34"/>
    <mergeCell ref="B36:D3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50"/>
  <sheetViews>
    <sheetView zoomScale="70" zoomScaleNormal="70" workbookViewId="0">
      <pane xSplit="2" ySplit="4" topLeftCell="E141" activePane="bottomRight" state="frozen"/>
      <selection pane="topRight" activeCell="C1" sqref="C1"/>
      <selection pane="bottomLeft" activeCell="A3" sqref="A3"/>
      <selection pane="bottomRight" activeCell="A145" sqref="A145:XFD145"/>
    </sheetView>
  </sheetViews>
  <sheetFormatPr baseColWidth="10" defaultRowHeight="15"/>
  <cols>
    <col min="1" max="1" width="8.42578125" style="6" customWidth="1"/>
    <col min="2" max="2" width="4.140625" style="6" customWidth="1"/>
    <col min="3" max="3" width="4.7109375" style="16" customWidth="1"/>
    <col min="4" max="4" width="26.28515625" style="7" customWidth="1"/>
    <col min="5" max="5" width="5" style="7" customWidth="1"/>
    <col min="6" max="6" width="36.42578125" style="6" customWidth="1"/>
    <col min="7" max="7" width="5.85546875" style="6" customWidth="1"/>
    <col min="8" max="9" width="23.5703125" style="7" customWidth="1"/>
    <col min="10" max="15" width="5.42578125" style="6" customWidth="1"/>
    <col min="16" max="16" width="1.85546875" style="6" customWidth="1"/>
    <col min="17" max="17" width="5.42578125" style="6" customWidth="1"/>
    <col min="18" max="22" width="5.5703125" style="6" bestFit="1" customWidth="1"/>
    <col min="23" max="23" width="2" style="6" customWidth="1"/>
    <col min="24" max="29" width="5.42578125" style="6" customWidth="1"/>
    <col min="30" max="30" width="23.7109375" style="6" customWidth="1"/>
    <col min="31" max="31" width="20.85546875" style="6" customWidth="1"/>
  </cols>
  <sheetData>
    <row r="1" spans="1:31" ht="30.75" customHeight="1">
      <c r="A1" s="251" t="s">
        <v>254</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row>
    <row r="2" spans="1:31" ht="27.75" customHeight="1">
      <c r="A2" s="252"/>
      <c r="B2" s="252"/>
      <c r="C2" s="252"/>
      <c r="D2" s="252"/>
      <c r="E2" s="263" t="s">
        <v>20</v>
      </c>
      <c r="F2" s="264"/>
      <c r="G2" s="264"/>
      <c r="H2" s="264"/>
      <c r="I2" s="264"/>
      <c r="J2" s="264"/>
      <c r="K2" s="264"/>
      <c r="L2" s="264"/>
      <c r="M2" s="264"/>
      <c r="N2" s="264"/>
      <c r="O2" s="265"/>
      <c r="P2" s="260" t="s">
        <v>70</v>
      </c>
      <c r="Q2" s="261"/>
      <c r="R2" s="261"/>
      <c r="S2" s="261"/>
      <c r="T2" s="261"/>
      <c r="U2" s="261"/>
      <c r="V2" s="261"/>
      <c r="W2" s="261"/>
      <c r="X2" s="261"/>
      <c r="Y2" s="261"/>
      <c r="Z2" s="261"/>
      <c r="AA2" s="261"/>
      <c r="AB2" s="261"/>
      <c r="AC2" s="261"/>
      <c r="AD2" s="261"/>
      <c r="AE2" s="262"/>
    </row>
    <row r="3" spans="1:31" s="14" customFormat="1">
      <c r="A3" s="253" t="s">
        <v>1</v>
      </c>
      <c r="B3" s="253" t="s">
        <v>0</v>
      </c>
      <c r="C3" s="255" t="s">
        <v>23</v>
      </c>
      <c r="D3" s="255"/>
      <c r="E3" s="253" t="s">
        <v>22</v>
      </c>
      <c r="F3" s="253"/>
      <c r="G3" s="255" t="s">
        <v>21</v>
      </c>
      <c r="H3" s="255"/>
      <c r="I3" s="256" t="s">
        <v>47</v>
      </c>
      <c r="J3" s="253" t="s">
        <v>7</v>
      </c>
      <c r="K3" s="253"/>
      <c r="L3" s="253"/>
      <c r="M3" s="253"/>
      <c r="N3" s="253"/>
      <c r="O3" s="253"/>
      <c r="P3" s="257"/>
      <c r="Q3" s="253" t="s">
        <v>15</v>
      </c>
      <c r="R3" s="253"/>
      <c r="S3" s="253"/>
      <c r="T3" s="253"/>
      <c r="U3" s="253"/>
      <c r="V3" s="253"/>
      <c r="W3" s="257"/>
      <c r="X3" s="253" t="s">
        <v>18</v>
      </c>
      <c r="Y3" s="253"/>
      <c r="Z3" s="253"/>
      <c r="AA3" s="253"/>
      <c r="AB3" s="253"/>
      <c r="AC3" s="253"/>
      <c r="AD3" s="253" t="s">
        <v>16</v>
      </c>
      <c r="AE3" s="255" t="s">
        <v>17</v>
      </c>
    </row>
    <row r="4" spans="1:31" s="14" customFormat="1">
      <c r="A4" s="254"/>
      <c r="B4" s="254"/>
      <c r="C4" s="256"/>
      <c r="D4" s="256"/>
      <c r="E4" s="254"/>
      <c r="F4" s="254"/>
      <c r="G4" s="256"/>
      <c r="H4" s="256"/>
      <c r="I4" s="259"/>
      <c r="J4" s="56" t="s">
        <v>8</v>
      </c>
      <c r="K4" s="56" t="s">
        <v>9</v>
      </c>
      <c r="L4" s="56" t="s">
        <v>10</v>
      </c>
      <c r="M4" s="56" t="s">
        <v>448</v>
      </c>
      <c r="N4" s="56" t="s">
        <v>11</v>
      </c>
      <c r="O4" s="56" t="s">
        <v>12</v>
      </c>
      <c r="P4" s="258"/>
      <c r="Q4" s="56" t="s">
        <v>8</v>
      </c>
      <c r="R4" s="56" t="s">
        <v>9</v>
      </c>
      <c r="S4" s="56" t="s">
        <v>10</v>
      </c>
      <c r="T4" s="56" t="s">
        <v>448</v>
      </c>
      <c r="U4" s="56" t="s">
        <v>11</v>
      </c>
      <c r="V4" s="56" t="s">
        <v>12</v>
      </c>
      <c r="W4" s="258"/>
      <c r="X4" s="254"/>
      <c r="Y4" s="254"/>
      <c r="Z4" s="254"/>
      <c r="AA4" s="254"/>
      <c r="AB4" s="254"/>
      <c r="AC4" s="254"/>
      <c r="AD4" s="254"/>
      <c r="AE4" s="256"/>
    </row>
    <row r="5" spans="1:31" ht="111.75" customHeight="1">
      <c r="A5" s="244">
        <v>1</v>
      </c>
      <c r="B5" s="268" t="s">
        <v>78</v>
      </c>
      <c r="C5" s="219"/>
      <c r="D5" s="216" t="s">
        <v>2</v>
      </c>
      <c r="E5" s="219"/>
      <c r="F5" s="216" t="s">
        <v>255</v>
      </c>
      <c r="G5" s="49">
        <v>1</v>
      </c>
      <c r="H5" s="46" t="s">
        <v>79</v>
      </c>
      <c r="I5" s="222" t="s">
        <v>257</v>
      </c>
      <c r="J5" s="15"/>
      <c r="K5" s="15"/>
      <c r="L5" s="15"/>
      <c r="M5" s="15"/>
      <c r="N5" s="15"/>
      <c r="O5" s="15">
        <v>1</v>
      </c>
      <c r="P5" s="236"/>
      <c r="Q5" s="15">
        <v>0</v>
      </c>
      <c r="R5" s="43">
        <f>5.5*0.1</f>
        <v>0.55000000000000004</v>
      </c>
      <c r="S5" s="43">
        <f>5.5*0.2</f>
        <v>1.1000000000000001</v>
      </c>
      <c r="T5" s="43">
        <f>5.5*0.3</f>
        <v>1.65</v>
      </c>
      <c r="U5" s="43">
        <f>5.5*0.6</f>
        <v>3.3</v>
      </c>
      <c r="V5" s="43">
        <f>5.5*1</f>
        <v>5.5</v>
      </c>
      <c r="W5" s="13"/>
      <c r="X5" s="15">
        <f t="shared" ref="X5:X68" si="0">J5*Q5</f>
        <v>0</v>
      </c>
      <c r="Y5" s="15">
        <f t="shared" ref="Y5:Y68" si="1">K5*R5</f>
        <v>0</v>
      </c>
      <c r="Z5" s="15">
        <f t="shared" ref="Z5:Z68" si="2">L5*S5</f>
        <v>0</v>
      </c>
      <c r="AA5" s="15">
        <f t="shared" ref="AA5:AA68" si="3">M5*T5</f>
        <v>0</v>
      </c>
      <c r="AB5" s="15">
        <f t="shared" ref="AB5:AB68" si="4">N5*U5</f>
        <v>0</v>
      </c>
      <c r="AC5" s="15">
        <f t="shared" ref="AC5:AC68" si="5">O5*V5</f>
        <v>5.5</v>
      </c>
      <c r="AD5" s="15">
        <f t="shared" ref="AD5:AD68" si="6">X5+Y5+Z5+AA5+AB5+AC5</f>
        <v>5.5</v>
      </c>
      <c r="AE5" s="229">
        <f>SUM(AD5:AD41)</f>
        <v>200.00000000000011</v>
      </c>
    </row>
    <row r="6" spans="1:31" ht="127.5" customHeight="1">
      <c r="A6" s="244"/>
      <c r="B6" s="268"/>
      <c r="C6" s="221"/>
      <c r="D6" s="218"/>
      <c r="E6" s="221"/>
      <c r="F6" s="218"/>
      <c r="G6" s="49">
        <v>2</v>
      </c>
      <c r="H6" s="46" t="s">
        <v>80</v>
      </c>
      <c r="I6" s="222"/>
      <c r="J6" s="15"/>
      <c r="K6" s="15"/>
      <c r="L6" s="15"/>
      <c r="M6" s="15"/>
      <c r="N6" s="15"/>
      <c r="O6" s="15">
        <v>1</v>
      </c>
      <c r="P6" s="236"/>
      <c r="Q6" s="15">
        <v>0</v>
      </c>
      <c r="R6" s="43">
        <f>5.4*0.1</f>
        <v>0.54</v>
      </c>
      <c r="S6" s="43">
        <f>5.4*0.2</f>
        <v>1.08</v>
      </c>
      <c r="T6" s="43">
        <f>5.4*0.3</f>
        <v>1.62</v>
      </c>
      <c r="U6" s="43">
        <f>5.4*0.6</f>
        <v>3.24</v>
      </c>
      <c r="V6" s="43">
        <f>5.4*1</f>
        <v>5.4</v>
      </c>
      <c r="W6" s="13"/>
      <c r="X6" s="15">
        <f t="shared" si="0"/>
        <v>0</v>
      </c>
      <c r="Y6" s="15">
        <f t="shared" si="1"/>
        <v>0</v>
      </c>
      <c r="Z6" s="15">
        <f t="shared" si="2"/>
        <v>0</v>
      </c>
      <c r="AA6" s="15">
        <f t="shared" si="3"/>
        <v>0</v>
      </c>
      <c r="AB6" s="15">
        <f t="shared" si="4"/>
        <v>0</v>
      </c>
      <c r="AC6" s="15">
        <f t="shared" si="5"/>
        <v>5.4</v>
      </c>
      <c r="AD6" s="15">
        <f t="shared" si="6"/>
        <v>5.4</v>
      </c>
      <c r="AE6" s="230"/>
    </row>
    <row r="7" spans="1:31" ht="85.5" customHeight="1">
      <c r="A7" s="244"/>
      <c r="B7" s="268"/>
      <c r="C7" s="17"/>
      <c r="D7" s="46" t="s">
        <v>81</v>
      </c>
      <c r="E7" s="49"/>
      <c r="F7" s="46" t="s">
        <v>256</v>
      </c>
      <c r="G7" s="49">
        <v>3</v>
      </c>
      <c r="H7" s="33" t="s">
        <v>82</v>
      </c>
      <c r="I7" s="222" t="s">
        <v>257</v>
      </c>
      <c r="J7" s="15"/>
      <c r="K7" s="15"/>
      <c r="L7" s="15"/>
      <c r="M7" s="15"/>
      <c r="N7" s="15"/>
      <c r="O7" s="15">
        <v>1</v>
      </c>
      <c r="P7" s="236"/>
      <c r="Q7" s="15">
        <v>0</v>
      </c>
      <c r="R7" s="43">
        <f>5.5*0.1</f>
        <v>0.55000000000000004</v>
      </c>
      <c r="S7" s="43">
        <f>5.5*0.2</f>
        <v>1.1000000000000001</v>
      </c>
      <c r="T7" s="43">
        <f>5.5*0.3</f>
        <v>1.65</v>
      </c>
      <c r="U7" s="43">
        <f>5.5*0.6</f>
        <v>3.3</v>
      </c>
      <c r="V7" s="43">
        <f>5.5*1</f>
        <v>5.5</v>
      </c>
      <c r="W7" s="13"/>
      <c r="X7" s="15">
        <f t="shared" si="0"/>
        <v>0</v>
      </c>
      <c r="Y7" s="15">
        <f t="shared" si="1"/>
        <v>0</v>
      </c>
      <c r="Z7" s="15">
        <f t="shared" si="2"/>
        <v>0</v>
      </c>
      <c r="AA7" s="15">
        <f t="shared" si="3"/>
        <v>0</v>
      </c>
      <c r="AB7" s="15">
        <f t="shared" si="4"/>
        <v>0</v>
      </c>
      <c r="AC7" s="15">
        <f t="shared" si="5"/>
        <v>5.5</v>
      </c>
      <c r="AD7" s="15">
        <f t="shared" si="6"/>
        <v>5.5</v>
      </c>
      <c r="AE7" s="230"/>
    </row>
    <row r="8" spans="1:31" ht="37.5" customHeight="1">
      <c r="A8" s="244"/>
      <c r="B8" s="268"/>
      <c r="C8" s="219"/>
      <c r="D8" s="216" t="s">
        <v>3</v>
      </c>
      <c r="E8" s="219"/>
      <c r="F8" s="216" t="s">
        <v>83</v>
      </c>
      <c r="G8" s="49">
        <v>4</v>
      </c>
      <c r="H8" s="46" t="s">
        <v>84</v>
      </c>
      <c r="I8" s="222"/>
      <c r="J8" s="15"/>
      <c r="K8" s="15"/>
      <c r="L8" s="15"/>
      <c r="M8" s="15"/>
      <c r="N8" s="15"/>
      <c r="O8" s="15">
        <v>1</v>
      </c>
      <c r="P8" s="236"/>
      <c r="Q8" s="15">
        <v>0</v>
      </c>
      <c r="R8" s="43">
        <f t="shared" ref="R8:R41" si="7">5.4*0.1</f>
        <v>0.54</v>
      </c>
      <c r="S8" s="43">
        <f t="shared" ref="S8:S41" si="8">5.4*0.2</f>
        <v>1.08</v>
      </c>
      <c r="T8" s="43">
        <f t="shared" ref="T8:T41" si="9">5.4*0.3</f>
        <v>1.62</v>
      </c>
      <c r="U8" s="43">
        <f t="shared" ref="U8:U41" si="10">5.4*0.6</f>
        <v>3.24</v>
      </c>
      <c r="V8" s="43">
        <f t="shared" ref="V8:V41" si="11">5.4*1</f>
        <v>5.4</v>
      </c>
      <c r="W8" s="13"/>
      <c r="X8" s="15">
        <f t="shared" si="0"/>
        <v>0</v>
      </c>
      <c r="Y8" s="15">
        <f t="shared" si="1"/>
        <v>0</v>
      </c>
      <c r="Z8" s="15">
        <f t="shared" si="2"/>
        <v>0</v>
      </c>
      <c r="AA8" s="15">
        <f t="shared" si="3"/>
        <v>0</v>
      </c>
      <c r="AB8" s="15">
        <f t="shared" si="4"/>
        <v>0</v>
      </c>
      <c r="AC8" s="15">
        <f t="shared" si="5"/>
        <v>5.4</v>
      </c>
      <c r="AD8" s="15">
        <f t="shared" si="6"/>
        <v>5.4</v>
      </c>
      <c r="AE8" s="230"/>
    </row>
    <row r="9" spans="1:31" ht="48" customHeight="1">
      <c r="A9" s="244"/>
      <c r="B9" s="268"/>
      <c r="C9" s="220"/>
      <c r="D9" s="217"/>
      <c r="E9" s="220"/>
      <c r="F9" s="217"/>
      <c r="G9" s="49">
        <v>5</v>
      </c>
      <c r="H9" s="46" t="s">
        <v>85</v>
      </c>
      <c r="I9" s="222"/>
      <c r="J9" s="15"/>
      <c r="K9" s="15"/>
      <c r="L9" s="15"/>
      <c r="M9" s="15"/>
      <c r="N9" s="15"/>
      <c r="O9" s="15">
        <v>1</v>
      </c>
      <c r="P9" s="236"/>
      <c r="Q9" s="15">
        <v>0</v>
      </c>
      <c r="R9" s="43">
        <f t="shared" si="7"/>
        <v>0.54</v>
      </c>
      <c r="S9" s="43">
        <f t="shared" si="8"/>
        <v>1.08</v>
      </c>
      <c r="T9" s="43">
        <f t="shared" si="9"/>
        <v>1.62</v>
      </c>
      <c r="U9" s="43">
        <f t="shared" si="10"/>
        <v>3.24</v>
      </c>
      <c r="V9" s="43">
        <f t="shared" si="11"/>
        <v>5.4</v>
      </c>
      <c r="W9" s="13"/>
      <c r="X9" s="15">
        <f t="shared" si="0"/>
        <v>0</v>
      </c>
      <c r="Y9" s="15">
        <f t="shared" si="1"/>
        <v>0</v>
      </c>
      <c r="Z9" s="15">
        <f t="shared" si="2"/>
        <v>0</v>
      </c>
      <c r="AA9" s="15">
        <f t="shared" si="3"/>
        <v>0</v>
      </c>
      <c r="AB9" s="15">
        <f t="shared" si="4"/>
        <v>0</v>
      </c>
      <c r="AC9" s="15">
        <f t="shared" si="5"/>
        <v>5.4</v>
      </c>
      <c r="AD9" s="15">
        <f t="shared" si="6"/>
        <v>5.4</v>
      </c>
      <c r="AE9" s="230"/>
    </row>
    <row r="10" spans="1:31" ht="41.25" customHeight="1">
      <c r="A10" s="244"/>
      <c r="B10" s="268"/>
      <c r="C10" s="220"/>
      <c r="D10" s="217"/>
      <c r="E10" s="220"/>
      <c r="F10" s="217"/>
      <c r="G10" s="49">
        <v>6</v>
      </c>
      <c r="H10" s="46" t="s">
        <v>86</v>
      </c>
      <c r="I10" s="222"/>
      <c r="J10" s="15"/>
      <c r="K10" s="15"/>
      <c r="L10" s="15"/>
      <c r="M10" s="15"/>
      <c r="N10" s="15"/>
      <c r="O10" s="15">
        <v>1</v>
      </c>
      <c r="P10" s="236"/>
      <c r="Q10" s="15">
        <v>0</v>
      </c>
      <c r="R10" s="43">
        <f t="shared" si="7"/>
        <v>0.54</v>
      </c>
      <c r="S10" s="43">
        <f t="shared" si="8"/>
        <v>1.08</v>
      </c>
      <c r="T10" s="43">
        <f t="shared" si="9"/>
        <v>1.62</v>
      </c>
      <c r="U10" s="43">
        <f t="shared" si="10"/>
        <v>3.24</v>
      </c>
      <c r="V10" s="43">
        <f t="shared" si="11"/>
        <v>5.4</v>
      </c>
      <c r="W10" s="13"/>
      <c r="X10" s="15">
        <f t="shared" si="0"/>
        <v>0</v>
      </c>
      <c r="Y10" s="15">
        <f t="shared" si="1"/>
        <v>0</v>
      </c>
      <c r="Z10" s="15">
        <f t="shared" si="2"/>
        <v>0</v>
      </c>
      <c r="AA10" s="15">
        <f t="shared" si="3"/>
        <v>0</v>
      </c>
      <c r="AB10" s="15">
        <f t="shared" si="4"/>
        <v>0</v>
      </c>
      <c r="AC10" s="15">
        <f t="shared" si="5"/>
        <v>5.4</v>
      </c>
      <c r="AD10" s="15">
        <f t="shared" si="6"/>
        <v>5.4</v>
      </c>
      <c r="AE10" s="230"/>
    </row>
    <row r="11" spans="1:31" ht="42.75" customHeight="1">
      <c r="A11" s="244"/>
      <c r="B11" s="268"/>
      <c r="C11" s="220"/>
      <c r="D11" s="217"/>
      <c r="E11" s="220"/>
      <c r="F11" s="217"/>
      <c r="G11" s="49">
        <v>7</v>
      </c>
      <c r="H11" s="46" t="s">
        <v>87</v>
      </c>
      <c r="I11" s="222"/>
      <c r="J11" s="15"/>
      <c r="K11" s="15"/>
      <c r="L11" s="15"/>
      <c r="M11" s="15"/>
      <c r="N11" s="15"/>
      <c r="O11" s="15">
        <v>1</v>
      </c>
      <c r="P11" s="236"/>
      <c r="Q11" s="15">
        <v>0</v>
      </c>
      <c r="R11" s="43">
        <f t="shared" si="7"/>
        <v>0.54</v>
      </c>
      <c r="S11" s="43">
        <f t="shared" si="8"/>
        <v>1.08</v>
      </c>
      <c r="T11" s="43">
        <f t="shared" si="9"/>
        <v>1.62</v>
      </c>
      <c r="U11" s="43">
        <f t="shared" si="10"/>
        <v>3.24</v>
      </c>
      <c r="V11" s="43">
        <f t="shared" si="11"/>
        <v>5.4</v>
      </c>
      <c r="W11" s="13"/>
      <c r="X11" s="15">
        <f t="shared" si="0"/>
        <v>0</v>
      </c>
      <c r="Y11" s="15">
        <f t="shared" si="1"/>
        <v>0</v>
      </c>
      <c r="Z11" s="15">
        <f t="shared" si="2"/>
        <v>0</v>
      </c>
      <c r="AA11" s="15">
        <f t="shared" si="3"/>
        <v>0</v>
      </c>
      <c r="AB11" s="15">
        <f t="shared" si="4"/>
        <v>0</v>
      </c>
      <c r="AC11" s="15">
        <f t="shared" si="5"/>
        <v>5.4</v>
      </c>
      <c r="AD11" s="15">
        <f t="shared" si="6"/>
        <v>5.4</v>
      </c>
      <c r="AE11" s="230"/>
    </row>
    <row r="12" spans="1:31" ht="48.75" customHeight="1">
      <c r="A12" s="244"/>
      <c r="B12" s="268"/>
      <c r="C12" s="220"/>
      <c r="D12" s="217"/>
      <c r="E12" s="220"/>
      <c r="F12" s="217"/>
      <c r="G12" s="49">
        <v>8</v>
      </c>
      <c r="H12" s="46" t="s">
        <v>88</v>
      </c>
      <c r="I12" s="222"/>
      <c r="J12" s="15"/>
      <c r="K12" s="15"/>
      <c r="L12" s="15"/>
      <c r="M12" s="15"/>
      <c r="N12" s="15"/>
      <c r="O12" s="15">
        <v>1</v>
      </c>
      <c r="P12" s="236"/>
      <c r="Q12" s="15">
        <v>0</v>
      </c>
      <c r="R12" s="43">
        <f t="shared" si="7"/>
        <v>0.54</v>
      </c>
      <c r="S12" s="43">
        <f t="shared" si="8"/>
        <v>1.08</v>
      </c>
      <c r="T12" s="43">
        <f t="shared" si="9"/>
        <v>1.62</v>
      </c>
      <c r="U12" s="43">
        <f t="shared" si="10"/>
        <v>3.24</v>
      </c>
      <c r="V12" s="43">
        <f t="shared" si="11"/>
        <v>5.4</v>
      </c>
      <c r="W12" s="13"/>
      <c r="X12" s="15">
        <f t="shared" si="0"/>
        <v>0</v>
      </c>
      <c r="Y12" s="15">
        <f t="shared" si="1"/>
        <v>0</v>
      </c>
      <c r="Z12" s="15">
        <f t="shared" si="2"/>
        <v>0</v>
      </c>
      <c r="AA12" s="15">
        <f t="shared" si="3"/>
        <v>0</v>
      </c>
      <c r="AB12" s="15">
        <f t="shared" si="4"/>
        <v>0</v>
      </c>
      <c r="AC12" s="15">
        <f t="shared" si="5"/>
        <v>5.4</v>
      </c>
      <c r="AD12" s="15">
        <f t="shared" si="6"/>
        <v>5.4</v>
      </c>
      <c r="AE12" s="230"/>
    </row>
    <row r="13" spans="1:31" ht="33" customHeight="1">
      <c r="A13" s="244"/>
      <c r="B13" s="268"/>
      <c r="C13" s="220"/>
      <c r="D13" s="217"/>
      <c r="E13" s="220"/>
      <c r="F13" s="217"/>
      <c r="G13" s="49">
        <v>9</v>
      </c>
      <c r="H13" s="46" t="s">
        <v>89</v>
      </c>
      <c r="I13" s="222"/>
      <c r="J13" s="15"/>
      <c r="K13" s="15"/>
      <c r="L13" s="15"/>
      <c r="M13" s="15"/>
      <c r="N13" s="15"/>
      <c r="O13" s="15">
        <v>1</v>
      </c>
      <c r="P13" s="236"/>
      <c r="Q13" s="15">
        <v>0</v>
      </c>
      <c r="R13" s="43">
        <f t="shared" si="7"/>
        <v>0.54</v>
      </c>
      <c r="S13" s="43">
        <f t="shared" si="8"/>
        <v>1.08</v>
      </c>
      <c r="T13" s="43">
        <f t="shared" si="9"/>
        <v>1.62</v>
      </c>
      <c r="U13" s="43">
        <f t="shared" si="10"/>
        <v>3.24</v>
      </c>
      <c r="V13" s="43">
        <f t="shared" si="11"/>
        <v>5.4</v>
      </c>
      <c r="W13" s="13"/>
      <c r="X13" s="15">
        <f t="shared" si="0"/>
        <v>0</v>
      </c>
      <c r="Y13" s="15">
        <f t="shared" si="1"/>
        <v>0</v>
      </c>
      <c r="Z13" s="15">
        <f t="shared" si="2"/>
        <v>0</v>
      </c>
      <c r="AA13" s="15">
        <f t="shared" si="3"/>
        <v>0</v>
      </c>
      <c r="AB13" s="15">
        <f t="shared" si="4"/>
        <v>0</v>
      </c>
      <c r="AC13" s="15">
        <f t="shared" si="5"/>
        <v>5.4</v>
      </c>
      <c r="AD13" s="15">
        <f t="shared" si="6"/>
        <v>5.4</v>
      </c>
      <c r="AE13" s="230"/>
    </row>
    <row r="14" spans="1:31" ht="42" customHeight="1">
      <c r="A14" s="244"/>
      <c r="B14" s="268"/>
      <c r="C14" s="220"/>
      <c r="D14" s="217"/>
      <c r="E14" s="220"/>
      <c r="F14" s="217"/>
      <c r="G14" s="49">
        <v>10</v>
      </c>
      <c r="H14" s="46" t="s">
        <v>90</v>
      </c>
      <c r="I14" s="222"/>
      <c r="J14" s="15"/>
      <c r="K14" s="15"/>
      <c r="L14" s="15"/>
      <c r="M14" s="15"/>
      <c r="N14" s="15"/>
      <c r="O14" s="15">
        <v>1</v>
      </c>
      <c r="P14" s="236"/>
      <c r="Q14" s="15">
        <v>0</v>
      </c>
      <c r="R14" s="43">
        <f t="shared" si="7"/>
        <v>0.54</v>
      </c>
      <c r="S14" s="43">
        <f t="shared" si="8"/>
        <v>1.08</v>
      </c>
      <c r="T14" s="43">
        <f t="shared" si="9"/>
        <v>1.62</v>
      </c>
      <c r="U14" s="43">
        <f t="shared" si="10"/>
        <v>3.24</v>
      </c>
      <c r="V14" s="43">
        <f t="shared" si="11"/>
        <v>5.4</v>
      </c>
      <c r="W14" s="13"/>
      <c r="X14" s="15">
        <f t="shared" si="0"/>
        <v>0</v>
      </c>
      <c r="Y14" s="15">
        <f t="shared" si="1"/>
        <v>0</v>
      </c>
      <c r="Z14" s="15">
        <f t="shared" si="2"/>
        <v>0</v>
      </c>
      <c r="AA14" s="15">
        <f t="shared" si="3"/>
        <v>0</v>
      </c>
      <c r="AB14" s="15">
        <f t="shared" si="4"/>
        <v>0</v>
      </c>
      <c r="AC14" s="15">
        <f t="shared" si="5"/>
        <v>5.4</v>
      </c>
      <c r="AD14" s="15">
        <f t="shared" si="6"/>
        <v>5.4</v>
      </c>
      <c r="AE14" s="230"/>
    </row>
    <row r="15" spans="1:31" ht="34.5" customHeight="1">
      <c r="A15" s="244"/>
      <c r="B15" s="268"/>
      <c r="C15" s="220"/>
      <c r="D15" s="217"/>
      <c r="E15" s="220"/>
      <c r="F15" s="217"/>
      <c r="G15" s="49">
        <v>11</v>
      </c>
      <c r="H15" s="46" t="s">
        <v>91</v>
      </c>
      <c r="I15" s="222"/>
      <c r="J15" s="15"/>
      <c r="K15" s="15"/>
      <c r="L15" s="15"/>
      <c r="M15" s="15"/>
      <c r="N15" s="15"/>
      <c r="O15" s="15">
        <v>1</v>
      </c>
      <c r="P15" s="236"/>
      <c r="Q15" s="15">
        <v>0</v>
      </c>
      <c r="R15" s="43">
        <f t="shared" si="7"/>
        <v>0.54</v>
      </c>
      <c r="S15" s="43">
        <f t="shared" si="8"/>
        <v>1.08</v>
      </c>
      <c r="T15" s="43">
        <f t="shared" si="9"/>
        <v>1.62</v>
      </c>
      <c r="U15" s="43">
        <f t="shared" si="10"/>
        <v>3.24</v>
      </c>
      <c r="V15" s="43">
        <f t="shared" si="11"/>
        <v>5.4</v>
      </c>
      <c r="W15" s="13"/>
      <c r="X15" s="15">
        <f t="shared" si="0"/>
        <v>0</v>
      </c>
      <c r="Y15" s="15">
        <f t="shared" si="1"/>
        <v>0</v>
      </c>
      <c r="Z15" s="15">
        <f t="shared" si="2"/>
        <v>0</v>
      </c>
      <c r="AA15" s="15">
        <f t="shared" si="3"/>
        <v>0</v>
      </c>
      <c r="AB15" s="15">
        <f t="shared" si="4"/>
        <v>0</v>
      </c>
      <c r="AC15" s="15">
        <f t="shared" si="5"/>
        <v>5.4</v>
      </c>
      <c r="AD15" s="15">
        <f t="shared" si="6"/>
        <v>5.4</v>
      </c>
      <c r="AE15" s="230"/>
    </row>
    <row r="16" spans="1:31" ht="66.75" customHeight="1">
      <c r="A16" s="244"/>
      <c r="B16" s="268"/>
      <c r="C16" s="220"/>
      <c r="D16" s="217"/>
      <c r="E16" s="221"/>
      <c r="F16" s="218"/>
      <c r="G16" s="49">
        <v>12</v>
      </c>
      <c r="H16" s="46" t="s">
        <v>92</v>
      </c>
      <c r="I16" s="222"/>
      <c r="J16" s="15"/>
      <c r="K16" s="15"/>
      <c r="L16" s="15"/>
      <c r="M16" s="15"/>
      <c r="N16" s="15"/>
      <c r="O16" s="15">
        <v>1</v>
      </c>
      <c r="P16" s="236"/>
      <c r="Q16" s="15">
        <v>0</v>
      </c>
      <c r="R16" s="43">
        <f t="shared" si="7"/>
        <v>0.54</v>
      </c>
      <c r="S16" s="43">
        <f t="shared" si="8"/>
        <v>1.08</v>
      </c>
      <c r="T16" s="43">
        <f t="shared" si="9"/>
        <v>1.62</v>
      </c>
      <c r="U16" s="43">
        <f t="shared" si="10"/>
        <v>3.24</v>
      </c>
      <c r="V16" s="43">
        <f t="shared" si="11"/>
        <v>5.4</v>
      </c>
      <c r="W16" s="13"/>
      <c r="X16" s="15">
        <f t="shared" si="0"/>
        <v>0</v>
      </c>
      <c r="Y16" s="15">
        <f t="shared" si="1"/>
        <v>0</v>
      </c>
      <c r="Z16" s="15">
        <f t="shared" si="2"/>
        <v>0</v>
      </c>
      <c r="AA16" s="15">
        <f t="shared" si="3"/>
        <v>0</v>
      </c>
      <c r="AB16" s="15">
        <f t="shared" si="4"/>
        <v>0</v>
      </c>
      <c r="AC16" s="15">
        <f t="shared" si="5"/>
        <v>5.4</v>
      </c>
      <c r="AD16" s="15">
        <f t="shared" si="6"/>
        <v>5.4</v>
      </c>
      <c r="AE16" s="230"/>
    </row>
    <row r="17" spans="1:31" ht="39.75" customHeight="1">
      <c r="A17" s="244"/>
      <c r="B17" s="268"/>
      <c r="C17" s="220"/>
      <c r="D17" s="217"/>
      <c r="E17" s="219"/>
      <c r="F17" s="216" t="s">
        <v>93</v>
      </c>
      <c r="G17" s="49">
        <v>13</v>
      </c>
      <c r="H17" s="33" t="s">
        <v>96</v>
      </c>
      <c r="I17" s="222" t="s">
        <v>257</v>
      </c>
      <c r="J17" s="15"/>
      <c r="K17" s="15"/>
      <c r="L17" s="15"/>
      <c r="M17" s="15"/>
      <c r="N17" s="15"/>
      <c r="O17" s="15">
        <v>1</v>
      </c>
      <c r="P17" s="236"/>
      <c r="Q17" s="15">
        <v>0</v>
      </c>
      <c r="R17" s="43">
        <f t="shared" si="7"/>
        <v>0.54</v>
      </c>
      <c r="S17" s="43">
        <f t="shared" si="8"/>
        <v>1.08</v>
      </c>
      <c r="T17" s="43">
        <f t="shared" si="9"/>
        <v>1.62</v>
      </c>
      <c r="U17" s="43">
        <f t="shared" si="10"/>
        <v>3.24</v>
      </c>
      <c r="V17" s="43">
        <f t="shared" si="11"/>
        <v>5.4</v>
      </c>
      <c r="W17" s="13"/>
      <c r="X17" s="15">
        <f t="shared" si="0"/>
        <v>0</v>
      </c>
      <c r="Y17" s="15">
        <f t="shared" si="1"/>
        <v>0</v>
      </c>
      <c r="Z17" s="15">
        <f t="shared" si="2"/>
        <v>0</v>
      </c>
      <c r="AA17" s="15">
        <f t="shared" si="3"/>
        <v>0</v>
      </c>
      <c r="AB17" s="15">
        <f t="shared" si="4"/>
        <v>0</v>
      </c>
      <c r="AC17" s="15">
        <f t="shared" si="5"/>
        <v>5.4</v>
      </c>
      <c r="AD17" s="15">
        <f t="shared" si="6"/>
        <v>5.4</v>
      </c>
      <c r="AE17" s="230"/>
    </row>
    <row r="18" spans="1:31" ht="88.5" customHeight="1">
      <c r="A18" s="244"/>
      <c r="B18" s="268"/>
      <c r="C18" s="220"/>
      <c r="D18" s="217"/>
      <c r="E18" s="220"/>
      <c r="F18" s="217"/>
      <c r="G18" s="49">
        <v>14</v>
      </c>
      <c r="H18" s="46" t="s">
        <v>94</v>
      </c>
      <c r="I18" s="222"/>
      <c r="J18" s="15"/>
      <c r="K18" s="15"/>
      <c r="L18" s="15"/>
      <c r="M18" s="15"/>
      <c r="N18" s="15"/>
      <c r="O18" s="15">
        <v>1</v>
      </c>
      <c r="P18" s="236"/>
      <c r="Q18" s="15">
        <v>0</v>
      </c>
      <c r="R18" s="43">
        <f t="shared" si="7"/>
        <v>0.54</v>
      </c>
      <c r="S18" s="43">
        <f t="shared" si="8"/>
        <v>1.08</v>
      </c>
      <c r="T18" s="43">
        <f t="shared" si="9"/>
        <v>1.62</v>
      </c>
      <c r="U18" s="43">
        <f t="shared" si="10"/>
        <v>3.24</v>
      </c>
      <c r="V18" s="43">
        <f t="shared" si="11"/>
        <v>5.4</v>
      </c>
      <c r="W18" s="13"/>
      <c r="X18" s="15">
        <f t="shared" si="0"/>
        <v>0</v>
      </c>
      <c r="Y18" s="15">
        <f t="shared" si="1"/>
        <v>0</v>
      </c>
      <c r="Z18" s="15">
        <f t="shared" si="2"/>
        <v>0</v>
      </c>
      <c r="AA18" s="15">
        <f t="shared" si="3"/>
        <v>0</v>
      </c>
      <c r="AB18" s="15">
        <f t="shared" si="4"/>
        <v>0</v>
      </c>
      <c r="AC18" s="15">
        <f t="shared" si="5"/>
        <v>5.4</v>
      </c>
      <c r="AD18" s="15">
        <f t="shared" si="6"/>
        <v>5.4</v>
      </c>
      <c r="AE18" s="230"/>
    </row>
    <row r="19" spans="1:31" ht="94.5" customHeight="1">
      <c r="A19" s="244"/>
      <c r="B19" s="268"/>
      <c r="C19" s="220"/>
      <c r="D19" s="217"/>
      <c r="E19" s="221"/>
      <c r="F19" s="218"/>
      <c r="G19" s="49">
        <v>15</v>
      </c>
      <c r="H19" s="46" t="s">
        <v>95</v>
      </c>
      <c r="I19" s="222"/>
      <c r="J19" s="15"/>
      <c r="K19" s="15"/>
      <c r="L19" s="15"/>
      <c r="M19" s="15"/>
      <c r="N19" s="15"/>
      <c r="O19" s="15">
        <v>1</v>
      </c>
      <c r="P19" s="236"/>
      <c r="Q19" s="15">
        <v>0</v>
      </c>
      <c r="R19" s="43">
        <f t="shared" si="7"/>
        <v>0.54</v>
      </c>
      <c r="S19" s="43">
        <f t="shared" si="8"/>
        <v>1.08</v>
      </c>
      <c r="T19" s="43">
        <f t="shared" si="9"/>
        <v>1.62</v>
      </c>
      <c r="U19" s="43">
        <f t="shared" si="10"/>
        <v>3.24</v>
      </c>
      <c r="V19" s="43">
        <f t="shared" si="11"/>
        <v>5.4</v>
      </c>
      <c r="W19" s="13"/>
      <c r="X19" s="15">
        <f t="shared" si="0"/>
        <v>0</v>
      </c>
      <c r="Y19" s="15">
        <f t="shared" si="1"/>
        <v>0</v>
      </c>
      <c r="Z19" s="15">
        <f t="shared" si="2"/>
        <v>0</v>
      </c>
      <c r="AA19" s="15">
        <f t="shared" si="3"/>
        <v>0</v>
      </c>
      <c r="AB19" s="15">
        <f t="shared" si="4"/>
        <v>0</v>
      </c>
      <c r="AC19" s="15">
        <f t="shared" si="5"/>
        <v>5.4</v>
      </c>
      <c r="AD19" s="15">
        <f t="shared" si="6"/>
        <v>5.4</v>
      </c>
      <c r="AE19" s="230"/>
    </row>
    <row r="20" spans="1:31" ht="43.5" customHeight="1">
      <c r="A20" s="244"/>
      <c r="B20" s="268"/>
      <c r="C20" s="220"/>
      <c r="D20" s="217"/>
      <c r="E20" s="219"/>
      <c r="F20" s="216" t="s">
        <v>97</v>
      </c>
      <c r="G20" s="49">
        <v>16</v>
      </c>
      <c r="H20" s="46" t="s">
        <v>98</v>
      </c>
      <c r="I20" s="222"/>
      <c r="J20" s="15"/>
      <c r="K20" s="15"/>
      <c r="L20" s="15"/>
      <c r="M20" s="15"/>
      <c r="N20" s="15"/>
      <c r="O20" s="15">
        <v>1</v>
      </c>
      <c r="P20" s="236"/>
      <c r="Q20" s="15">
        <v>0</v>
      </c>
      <c r="R20" s="43">
        <f t="shared" si="7"/>
        <v>0.54</v>
      </c>
      <c r="S20" s="43">
        <f t="shared" si="8"/>
        <v>1.08</v>
      </c>
      <c r="T20" s="43">
        <f t="shared" si="9"/>
        <v>1.62</v>
      </c>
      <c r="U20" s="43">
        <f t="shared" si="10"/>
        <v>3.24</v>
      </c>
      <c r="V20" s="43">
        <f t="shared" si="11"/>
        <v>5.4</v>
      </c>
      <c r="W20" s="13"/>
      <c r="X20" s="15">
        <f t="shared" si="0"/>
        <v>0</v>
      </c>
      <c r="Y20" s="15">
        <f t="shared" si="1"/>
        <v>0</v>
      </c>
      <c r="Z20" s="15">
        <f t="shared" si="2"/>
        <v>0</v>
      </c>
      <c r="AA20" s="15">
        <f t="shared" si="3"/>
        <v>0</v>
      </c>
      <c r="AB20" s="15">
        <f t="shared" si="4"/>
        <v>0</v>
      </c>
      <c r="AC20" s="15">
        <f t="shared" si="5"/>
        <v>5.4</v>
      </c>
      <c r="AD20" s="15">
        <f t="shared" si="6"/>
        <v>5.4</v>
      </c>
      <c r="AE20" s="230"/>
    </row>
    <row r="21" spans="1:31" ht="102" customHeight="1">
      <c r="A21" s="244"/>
      <c r="B21" s="268"/>
      <c r="C21" s="221"/>
      <c r="D21" s="218"/>
      <c r="E21" s="221"/>
      <c r="F21" s="218"/>
      <c r="G21" s="49">
        <v>17</v>
      </c>
      <c r="H21" s="46" t="s">
        <v>99</v>
      </c>
      <c r="I21" s="222"/>
      <c r="J21" s="15"/>
      <c r="K21" s="15"/>
      <c r="L21" s="15"/>
      <c r="M21" s="15"/>
      <c r="N21" s="15"/>
      <c r="O21" s="15">
        <v>1</v>
      </c>
      <c r="P21" s="236"/>
      <c r="Q21" s="15">
        <v>0</v>
      </c>
      <c r="R21" s="43">
        <f t="shared" si="7"/>
        <v>0.54</v>
      </c>
      <c r="S21" s="43">
        <f t="shared" si="8"/>
        <v>1.08</v>
      </c>
      <c r="T21" s="43">
        <f t="shared" si="9"/>
        <v>1.62</v>
      </c>
      <c r="U21" s="43">
        <f t="shared" si="10"/>
        <v>3.24</v>
      </c>
      <c r="V21" s="43">
        <f t="shared" si="11"/>
        <v>5.4</v>
      </c>
      <c r="W21" s="13"/>
      <c r="X21" s="15">
        <f t="shared" si="0"/>
        <v>0</v>
      </c>
      <c r="Y21" s="15">
        <f t="shared" si="1"/>
        <v>0</v>
      </c>
      <c r="Z21" s="15">
        <f t="shared" si="2"/>
        <v>0</v>
      </c>
      <c r="AA21" s="15">
        <f t="shared" si="3"/>
        <v>0</v>
      </c>
      <c r="AB21" s="15">
        <f t="shared" si="4"/>
        <v>0</v>
      </c>
      <c r="AC21" s="15">
        <f t="shared" si="5"/>
        <v>5.4</v>
      </c>
      <c r="AD21" s="15">
        <f t="shared" si="6"/>
        <v>5.4</v>
      </c>
      <c r="AE21" s="230"/>
    </row>
    <row r="22" spans="1:31" ht="40.5" customHeight="1">
      <c r="A22" s="244"/>
      <c r="B22" s="268"/>
      <c r="C22" s="219"/>
      <c r="D22" s="216" t="s">
        <v>4</v>
      </c>
      <c r="E22" s="219"/>
      <c r="F22" s="233" t="s">
        <v>100</v>
      </c>
      <c r="G22" s="49">
        <v>18</v>
      </c>
      <c r="H22" s="46" t="s">
        <v>101</v>
      </c>
      <c r="I22" s="222" t="s">
        <v>295</v>
      </c>
      <c r="J22" s="15"/>
      <c r="K22" s="15"/>
      <c r="L22" s="15"/>
      <c r="M22" s="15"/>
      <c r="N22" s="15"/>
      <c r="O22" s="15">
        <v>1</v>
      </c>
      <c r="P22" s="236"/>
      <c r="Q22" s="15">
        <v>0</v>
      </c>
      <c r="R22" s="43">
        <f t="shared" si="7"/>
        <v>0.54</v>
      </c>
      <c r="S22" s="43">
        <f t="shared" si="8"/>
        <v>1.08</v>
      </c>
      <c r="T22" s="43">
        <f t="shared" si="9"/>
        <v>1.62</v>
      </c>
      <c r="U22" s="43">
        <f t="shared" si="10"/>
        <v>3.24</v>
      </c>
      <c r="V22" s="43">
        <f t="shared" si="11"/>
        <v>5.4</v>
      </c>
      <c r="W22" s="13"/>
      <c r="X22" s="15">
        <f t="shared" si="0"/>
        <v>0</v>
      </c>
      <c r="Y22" s="15">
        <f t="shared" si="1"/>
        <v>0</v>
      </c>
      <c r="Z22" s="15">
        <f t="shared" si="2"/>
        <v>0</v>
      </c>
      <c r="AA22" s="15">
        <f t="shared" si="3"/>
        <v>0</v>
      </c>
      <c r="AB22" s="15">
        <f t="shared" si="4"/>
        <v>0</v>
      </c>
      <c r="AC22" s="15">
        <f t="shared" si="5"/>
        <v>5.4</v>
      </c>
      <c r="AD22" s="15">
        <f t="shared" si="6"/>
        <v>5.4</v>
      </c>
      <c r="AE22" s="230"/>
    </row>
    <row r="23" spans="1:31" ht="47.25" customHeight="1">
      <c r="A23" s="244"/>
      <c r="B23" s="268"/>
      <c r="C23" s="220"/>
      <c r="D23" s="217"/>
      <c r="E23" s="220"/>
      <c r="F23" s="234"/>
      <c r="G23" s="49">
        <v>19</v>
      </c>
      <c r="H23" s="46" t="s">
        <v>102</v>
      </c>
      <c r="I23" s="222"/>
      <c r="J23" s="15"/>
      <c r="K23" s="15"/>
      <c r="L23" s="15"/>
      <c r="M23" s="15"/>
      <c r="N23" s="15"/>
      <c r="O23" s="15">
        <v>1</v>
      </c>
      <c r="P23" s="236"/>
      <c r="Q23" s="15">
        <v>0</v>
      </c>
      <c r="R23" s="43">
        <f t="shared" si="7"/>
        <v>0.54</v>
      </c>
      <c r="S23" s="43">
        <f t="shared" si="8"/>
        <v>1.08</v>
      </c>
      <c r="T23" s="43">
        <f t="shared" si="9"/>
        <v>1.62</v>
      </c>
      <c r="U23" s="43">
        <f t="shared" si="10"/>
        <v>3.24</v>
      </c>
      <c r="V23" s="43">
        <f t="shared" si="11"/>
        <v>5.4</v>
      </c>
      <c r="W23" s="13"/>
      <c r="X23" s="15">
        <f t="shared" si="0"/>
        <v>0</v>
      </c>
      <c r="Y23" s="15">
        <f t="shared" si="1"/>
        <v>0</v>
      </c>
      <c r="Z23" s="15">
        <f t="shared" si="2"/>
        <v>0</v>
      </c>
      <c r="AA23" s="15">
        <f t="shared" si="3"/>
        <v>0</v>
      </c>
      <c r="AB23" s="15">
        <f t="shared" si="4"/>
        <v>0</v>
      </c>
      <c r="AC23" s="15">
        <f t="shared" si="5"/>
        <v>5.4</v>
      </c>
      <c r="AD23" s="15">
        <f t="shared" si="6"/>
        <v>5.4</v>
      </c>
      <c r="AE23" s="230"/>
    </row>
    <row r="24" spans="1:31" ht="48.75" customHeight="1">
      <c r="A24" s="244"/>
      <c r="B24" s="268"/>
      <c r="C24" s="220"/>
      <c r="D24" s="217"/>
      <c r="E24" s="221"/>
      <c r="F24" s="235"/>
      <c r="G24" s="49">
        <v>20</v>
      </c>
      <c r="H24" s="46" t="s">
        <v>103</v>
      </c>
      <c r="I24" s="222"/>
      <c r="J24" s="15"/>
      <c r="K24" s="15"/>
      <c r="L24" s="15"/>
      <c r="M24" s="15"/>
      <c r="N24" s="15"/>
      <c r="O24" s="15">
        <v>1</v>
      </c>
      <c r="P24" s="37"/>
      <c r="Q24" s="15">
        <v>0</v>
      </c>
      <c r="R24" s="43">
        <f t="shared" si="7"/>
        <v>0.54</v>
      </c>
      <c r="S24" s="43">
        <f t="shared" si="8"/>
        <v>1.08</v>
      </c>
      <c r="T24" s="43">
        <f t="shared" si="9"/>
        <v>1.62</v>
      </c>
      <c r="U24" s="43">
        <f t="shared" si="10"/>
        <v>3.24</v>
      </c>
      <c r="V24" s="43">
        <f t="shared" si="11"/>
        <v>5.4</v>
      </c>
      <c r="W24" s="13"/>
      <c r="X24" s="15">
        <f t="shared" si="0"/>
        <v>0</v>
      </c>
      <c r="Y24" s="15">
        <f t="shared" si="1"/>
        <v>0</v>
      </c>
      <c r="Z24" s="15">
        <f t="shared" si="2"/>
        <v>0</v>
      </c>
      <c r="AA24" s="15">
        <f t="shared" si="3"/>
        <v>0</v>
      </c>
      <c r="AB24" s="15">
        <f t="shared" si="4"/>
        <v>0</v>
      </c>
      <c r="AC24" s="15">
        <f t="shared" si="5"/>
        <v>5.4</v>
      </c>
      <c r="AD24" s="15">
        <f t="shared" si="6"/>
        <v>5.4</v>
      </c>
      <c r="AE24" s="230"/>
    </row>
    <row r="25" spans="1:31" ht="46.5" customHeight="1">
      <c r="A25" s="244"/>
      <c r="B25" s="268"/>
      <c r="C25" s="220"/>
      <c r="D25" s="217"/>
      <c r="E25" s="219"/>
      <c r="F25" s="216" t="s">
        <v>104</v>
      </c>
      <c r="G25" s="49">
        <v>21</v>
      </c>
      <c r="H25" s="46" t="s">
        <v>105</v>
      </c>
      <c r="I25" s="222"/>
      <c r="J25" s="15"/>
      <c r="K25" s="15"/>
      <c r="L25" s="15"/>
      <c r="M25" s="15"/>
      <c r="N25" s="15"/>
      <c r="O25" s="15">
        <v>1</v>
      </c>
      <c r="P25" s="236"/>
      <c r="Q25" s="15">
        <v>0</v>
      </c>
      <c r="R25" s="43">
        <f t="shared" si="7"/>
        <v>0.54</v>
      </c>
      <c r="S25" s="43">
        <f t="shared" si="8"/>
        <v>1.08</v>
      </c>
      <c r="T25" s="43">
        <f t="shared" si="9"/>
        <v>1.62</v>
      </c>
      <c r="U25" s="43">
        <f t="shared" si="10"/>
        <v>3.24</v>
      </c>
      <c r="V25" s="43">
        <f t="shared" si="11"/>
        <v>5.4</v>
      </c>
      <c r="W25" s="13"/>
      <c r="X25" s="15">
        <f t="shared" si="0"/>
        <v>0</v>
      </c>
      <c r="Y25" s="15">
        <f t="shared" si="1"/>
        <v>0</v>
      </c>
      <c r="Z25" s="15">
        <f t="shared" si="2"/>
        <v>0</v>
      </c>
      <c r="AA25" s="15">
        <f t="shared" si="3"/>
        <v>0</v>
      </c>
      <c r="AB25" s="15">
        <f t="shared" si="4"/>
        <v>0</v>
      </c>
      <c r="AC25" s="15">
        <f t="shared" si="5"/>
        <v>5.4</v>
      </c>
      <c r="AD25" s="15">
        <f t="shared" si="6"/>
        <v>5.4</v>
      </c>
      <c r="AE25" s="230"/>
    </row>
    <row r="26" spans="1:31" ht="33.75" customHeight="1">
      <c r="A26" s="244"/>
      <c r="B26" s="268"/>
      <c r="C26" s="220"/>
      <c r="D26" s="217"/>
      <c r="E26" s="220"/>
      <c r="F26" s="217"/>
      <c r="G26" s="49">
        <v>22</v>
      </c>
      <c r="H26" s="46" t="s">
        <v>106</v>
      </c>
      <c r="I26" s="222"/>
      <c r="J26" s="15"/>
      <c r="K26" s="15"/>
      <c r="L26" s="15"/>
      <c r="M26" s="15"/>
      <c r="N26" s="15"/>
      <c r="O26" s="15">
        <v>1</v>
      </c>
      <c r="P26" s="236"/>
      <c r="Q26" s="15">
        <v>0</v>
      </c>
      <c r="R26" s="43">
        <f t="shared" si="7"/>
        <v>0.54</v>
      </c>
      <c r="S26" s="43">
        <f t="shared" si="8"/>
        <v>1.08</v>
      </c>
      <c r="T26" s="43">
        <f t="shared" si="9"/>
        <v>1.62</v>
      </c>
      <c r="U26" s="43">
        <f t="shared" si="10"/>
        <v>3.24</v>
      </c>
      <c r="V26" s="43">
        <f t="shared" si="11"/>
        <v>5.4</v>
      </c>
      <c r="W26" s="13"/>
      <c r="X26" s="15">
        <f t="shared" si="0"/>
        <v>0</v>
      </c>
      <c r="Y26" s="15">
        <f t="shared" si="1"/>
        <v>0</v>
      </c>
      <c r="Z26" s="15">
        <f t="shared" si="2"/>
        <v>0</v>
      </c>
      <c r="AA26" s="15">
        <f t="shared" si="3"/>
        <v>0</v>
      </c>
      <c r="AB26" s="15">
        <f t="shared" si="4"/>
        <v>0</v>
      </c>
      <c r="AC26" s="15">
        <f t="shared" si="5"/>
        <v>5.4</v>
      </c>
      <c r="AD26" s="15">
        <f t="shared" si="6"/>
        <v>5.4</v>
      </c>
      <c r="AE26" s="230"/>
    </row>
    <row r="27" spans="1:31" ht="83.25" customHeight="1">
      <c r="A27" s="244"/>
      <c r="B27" s="268"/>
      <c r="C27" s="220"/>
      <c r="D27" s="217"/>
      <c r="E27" s="220"/>
      <c r="F27" s="217"/>
      <c r="G27" s="49">
        <v>23</v>
      </c>
      <c r="H27" s="46" t="s">
        <v>107</v>
      </c>
      <c r="I27" s="222"/>
      <c r="J27" s="15"/>
      <c r="K27" s="15"/>
      <c r="L27" s="15"/>
      <c r="M27" s="15"/>
      <c r="N27" s="15"/>
      <c r="O27" s="15">
        <v>1</v>
      </c>
      <c r="P27" s="37"/>
      <c r="Q27" s="15">
        <v>0</v>
      </c>
      <c r="R27" s="43">
        <f t="shared" si="7"/>
        <v>0.54</v>
      </c>
      <c r="S27" s="43">
        <f t="shared" si="8"/>
        <v>1.08</v>
      </c>
      <c r="T27" s="43">
        <f t="shared" si="9"/>
        <v>1.62</v>
      </c>
      <c r="U27" s="43">
        <f t="shared" si="10"/>
        <v>3.24</v>
      </c>
      <c r="V27" s="43">
        <f t="shared" si="11"/>
        <v>5.4</v>
      </c>
      <c r="W27" s="13"/>
      <c r="X27" s="15">
        <f t="shared" si="0"/>
        <v>0</v>
      </c>
      <c r="Y27" s="15">
        <f t="shared" si="1"/>
        <v>0</v>
      </c>
      <c r="Z27" s="15">
        <f t="shared" si="2"/>
        <v>0</v>
      </c>
      <c r="AA27" s="15">
        <f t="shared" si="3"/>
        <v>0</v>
      </c>
      <c r="AB27" s="15">
        <f t="shared" si="4"/>
        <v>0</v>
      </c>
      <c r="AC27" s="15">
        <f t="shared" si="5"/>
        <v>5.4</v>
      </c>
      <c r="AD27" s="15">
        <f t="shared" si="6"/>
        <v>5.4</v>
      </c>
      <c r="AE27" s="230"/>
    </row>
    <row r="28" spans="1:31" ht="55.5" customHeight="1">
      <c r="A28" s="244"/>
      <c r="B28" s="268"/>
      <c r="C28" s="220"/>
      <c r="D28" s="217"/>
      <c r="E28" s="221"/>
      <c r="F28" s="218"/>
      <c r="G28" s="49">
        <v>24</v>
      </c>
      <c r="H28" s="40" t="s">
        <v>108</v>
      </c>
      <c r="I28" s="222"/>
      <c r="J28" s="15"/>
      <c r="K28" s="15"/>
      <c r="L28" s="15"/>
      <c r="M28" s="15"/>
      <c r="N28" s="15"/>
      <c r="O28" s="15">
        <v>1</v>
      </c>
      <c r="P28" s="236"/>
      <c r="Q28" s="15">
        <v>0</v>
      </c>
      <c r="R28" s="43">
        <f t="shared" si="7"/>
        <v>0.54</v>
      </c>
      <c r="S28" s="43">
        <f t="shared" si="8"/>
        <v>1.08</v>
      </c>
      <c r="T28" s="43">
        <f t="shared" si="9"/>
        <v>1.62</v>
      </c>
      <c r="U28" s="43">
        <f t="shared" si="10"/>
        <v>3.24</v>
      </c>
      <c r="V28" s="43">
        <f t="shared" si="11"/>
        <v>5.4</v>
      </c>
      <c r="W28" s="13"/>
      <c r="X28" s="15">
        <f t="shared" si="0"/>
        <v>0</v>
      </c>
      <c r="Y28" s="15">
        <f t="shared" si="1"/>
        <v>0</v>
      </c>
      <c r="Z28" s="15">
        <f t="shared" si="2"/>
        <v>0</v>
      </c>
      <c r="AA28" s="15">
        <f t="shared" si="3"/>
        <v>0</v>
      </c>
      <c r="AB28" s="15">
        <f t="shared" si="4"/>
        <v>0</v>
      </c>
      <c r="AC28" s="15">
        <f t="shared" si="5"/>
        <v>5.4</v>
      </c>
      <c r="AD28" s="15">
        <f t="shared" si="6"/>
        <v>5.4</v>
      </c>
      <c r="AE28" s="230"/>
    </row>
    <row r="29" spans="1:31" ht="30.75" customHeight="1">
      <c r="A29" s="244"/>
      <c r="B29" s="268"/>
      <c r="C29" s="220"/>
      <c r="D29" s="217"/>
      <c r="E29" s="219"/>
      <c r="F29" s="226" t="s">
        <v>109</v>
      </c>
      <c r="G29" s="49">
        <v>25</v>
      </c>
      <c r="H29" s="46" t="s">
        <v>110</v>
      </c>
      <c r="I29" s="222"/>
      <c r="J29" s="15"/>
      <c r="K29" s="15"/>
      <c r="L29" s="15"/>
      <c r="M29" s="15"/>
      <c r="N29" s="15"/>
      <c r="O29" s="15">
        <v>1</v>
      </c>
      <c r="P29" s="236"/>
      <c r="Q29" s="15">
        <v>0</v>
      </c>
      <c r="R29" s="43">
        <f t="shared" si="7"/>
        <v>0.54</v>
      </c>
      <c r="S29" s="43">
        <f t="shared" si="8"/>
        <v>1.08</v>
      </c>
      <c r="T29" s="43">
        <f t="shared" si="9"/>
        <v>1.62</v>
      </c>
      <c r="U29" s="43">
        <f t="shared" si="10"/>
        <v>3.24</v>
      </c>
      <c r="V29" s="43">
        <f t="shared" si="11"/>
        <v>5.4</v>
      </c>
      <c r="W29" s="13"/>
      <c r="X29" s="15">
        <f t="shared" si="0"/>
        <v>0</v>
      </c>
      <c r="Y29" s="15">
        <f t="shared" si="1"/>
        <v>0</v>
      </c>
      <c r="Z29" s="15">
        <f t="shared" si="2"/>
        <v>0</v>
      </c>
      <c r="AA29" s="15">
        <f t="shared" si="3"/>
        <v>0</v>
      </c>
      <c r="AB29" s="15">
        <f t="shared" si="4"/>
        <v>0</v>
      </c>
      <c r="AC29" s="15">
        <f t="shared" si="5"/>
        <v>5.4</v>
      </c>
      <c r="AD29" s="15">
        <f t="shared" si="6"/>
        <v>5.4</v>
      </c>
      <c r="AE29" s="230"/>
    </row>
    <row r="30" spans="1:31" ht="93" customHeight="1">
      <c r="A30" s="244"/>
      <c r="B30" s="268"/>
      <c r="C30" s="220"/>
      <c r="D30" s="217"/>
      <c r="E30" s="220"/>
      <c r="F30" s="227"/>
      <c r="G30" s="49">
        <v>26</v>
      </c>
      <c r="H30" s="46" t="s">
        <v>111</v>
      </c>
      <c r="I30" s="222"/>
      <c r="J30" s="15"/>
      <c r="K30" s="15"/>
      <c r="L30" s="15"/>
      <c r="M30" s="15"/>
      <c r="N30" s="15"/>
      <c r="O30" s="15">
        <v>1</v>
      </c>
      <c r="P30" s="236"/>
      <c r="Q30" s="15">
        <v>0</v>
      </c>
      <c r="R30" s="43">
        <f t="shared" si="7"/>
        <v>0.54</v>
      </c>
      <c r="S30" s="43">
        <f t="shared" si="8"/>
        <v>1.08</v>
      </c>
      <c r="T30" s="43">
        <f t="shared" si="9"/>
        <v>1.62</v>
      </c>
      <c r="U30" s="43">
        <f t="shared" si="10"/>
        <v>3.24</v>
      </c>
      <c r="V30" s="43">
        <f t="shared" si="11"/>
        <v>5.4</v>
      </c>
      <c r="W30" s="13"/>
      <c r="X30" s="15">
        <f t="shared" si="0"/>
        <v>0</v>
      </c>
      <c r="Y30" s="15">
        <f t="shared" si="1"/>
        <v>0</v>
      </c>
      <c r="Z30" s="15">
        <f t="shared" si="2"/>
        <v>0</v>
      </c>
      <c r="AA30" s="15">
        <f t="shared" si="3"/>
        <v>0</v>
      </c>
      <c r="AB30" s="15">
        <f t="shared" si="4"/>
        <v>0</v>
      </c>
      <c r="AC30" s="15">
        <f t="shared" si="5"/>
        <v>5.4</v>
      </c>
      <c r="AD30" s="15">
        <f t="shared" si="6"/>
        <v>5.4</v>
      </c>
      <c r="AE30" s="230"/>
    </row>
    <row r="31" spans="1:31" ht="45.75" customHeight="1">
      <c r="A31" s="244"/>
      <c r="B31" s="268"/>
      <c r="C31" s="221"/>
      <c r="D31" s="218"/>
      <c r="E31" s="221"/>
      <c r="F31" s="228"/>
      <c r="G31" s="49">
        <v>27</v>
      </c>
      <c r="H31" s="46" t="s">
        <v>112</v>
      </c>
      <c r="I31" s="222"/>
      <c r="J31" s="15"/>
      <c r="K31" s="15"/>
      <c r="L31" s="15"/>
      <c r="M31" s="15"/>
      <c r="N31" s="15"/>
      <c r="O31" s="15">
        <v>1</v>
      </c>
      <c r="P31" s="236"/>
      <c r="Q31" s="15">
        <v>0</v>
      </c>
      <c r="R31" s="43">
        <f t="shared" si="7"/>
        <v>0.54</v>
      </c>
      <c r="S31" s="43">
        <f t="shared" si="8"/>
        <v>1.08</v>
      </c>
      <c r="T31" s="43">
        <f t="shared" si="9"/>
        <v>1.62</v>
      </c>
      <c r="U31" s="43">
        <f t="shared" si="10"/>
        <v>3.24</v>
      </c>
      <c r="V31" s="43">
        <f t="shared" si="11"/>
        <v>5.4</v>
      </c>
      <c r="W31" s="13"/>
      <c r="X31" s="15">
        <f t="shared" si="0"/>
        <v>0</v>
      </c>
      <c r="Y31" s="15">
        <f t="shared" si="1"/>
        <v>0</v>
      </c>
      <c r="Z31" s="15">
        <f t="shared" si="2"/>
        <v>0</v>
      </c>
      <c r="AA31" s="15">
        <f t="shared" si="3"/>
        <v>0</v>
      </c>
      <c r="AB31" s="15">
        <f t="shared" si="4"/>
        <v>0</v>
      </c>
      <c r="AC31" s="15">
        <f t="shared" si="5"/>
        <v>5.4</v>
      </c>
      <c r="AD31" s="15">
        <f t="shared" si="6"/>
        <v>5.4</v>
      </c>
      <c r="AE31" s="230"/>
    </row>
    <row r="32" spans="1:31" ht="69.75" customHeight="1">
      <c r="A32" s="244"/>
      <c r="B32" s="268"/>
      <c r="C32" s="219"/>
      <c r="D32" s="216" t="s">
        <v>5</v>
      </c>
      <c r="E32" s="219"/>
      <c r="F32" s="216" t="s">
        <v>113</v>
      </c>
      <c r="G32" s="49">
        <v>28</v>
      </c>
      <c r="H32" s="46" t="s">
        <v>114</v>
      </c>
      <c r="I32" s="222" t="s">
        <v>295</v>
      </c>
      <c r="J32" s="15"/>
      <c r="K32" s="15"/>
      <c r="L32" s="15"/>
      <c r="M32" s="15"/>
      <c r="N32" s="15"/>
      <c r="O32" s="15">
        <v>1</v>
      </c>
      <c r="P32" s="236"/>
      <c r="Q32" s="15">
        <v>0</v>
      </c>
      <c r="R32" s="43">
        <f t="shared" si="7"/>
        <v>0.54</v>
      </c>
      <c r="S32" s="43">
        <f t="shared" si="8"/>
        <v>1.08</v>
      </c>
      <c r="T32" s="43">
        <f t="shared" si="9"/>
        <v>1.62</v>
      </c>
      <c r="U32" s="43">
        <f t="shared" si="10"/>
        <v>3.24</v>
      </c>
      <c r="V32" s="43">
        <f t="shared" si="11"/>
        <v>5.4</v>
      </c>
      <c r="W32" s="13"/>
      <c r="X32" s="15">
        <f t="shared" si="0"/>
        <v>0</v>
      </c>
      <c r="Y32" s="15">
        <f t="shared" si="1"/>
        <v>0</v>
      </c>
      <c r="Z32" s="15">
        <f t="shared" si="2"/>
        <v>0</v>
      </c>
      <c r="AA32" s="15">
        <f t="shared" si="3"/>
        <v>0</v>
      </c>
      <c r="AB32" s="15">
        <f t="shared" si="4"/>
        <v>0</v>
      </c>
      <c r="AC32" s="15">
        <f t="shared" si="5"/>
        <v>5.4</v>
      </c>
      <c r="AD32" s="15">
        <f t="shared" si="6"/>
        <v>5.4</v>
      </c>
      <c r="AE32" s="230"/>
    </row>
    <row r="33" spans="1:31" ht="80.25" customHeight="1">
      <c r="A33" s="244"/>
      <c r="B33" s="268"/>
      <c r="C33" s="220"/>
      <c r="D33" s="217"/>
      <c r="E33" s="220"/>
      <c r="F33" s="217"/>
      <c r="G33" s="49">
        <v>29</v>
      </c>
      <c r="H33" s="46" t="s">
        <v>115</v>
      </c>
      <c r="I33" s="222"/>
      <c r="J33" s="15"/>
      <c r="K33" s="15"/>
      <c r="L33" s="15"/>
      <c r="M33" s="15"/>
      <c r="N33" s="15"/>
      <c r="O33" s="15">
        <v>1</v>
      </c>
      <c r="P33" s="236"/>
      <c r="Q33" s="15">
        <v>0</v>
      </c>
      <c r="R33" s="43">
        <f t="shared" si="7"/>
        <v>0.54</v>
      </c>
      <c r="S33" s="43">
        <f t="shared" si="8"/>
        <v>1.08</v>
      </c>
      <c r="T33" s="43">
        <f t="shared" si="9"/>
        <v>1.62</v>
      </c>
      <c r="U33" s="43">
        <f t="shared" si="10"/>
        <v>3.24</v>
      </c>
      <c r="V33" s="43">
        <f t="shared" si="11"/>
        <v>5.4</v>
      </c>
      <c r="W33" s="13"/>
      <c r="X33" s="15">
        <f t="shared" si="0"/>
        <v>0</v>
      </c>
      <c r="Y33" s="15">
        <f t="shared" si="1"/>
        <v>0</v>
      </c>
      <c r="Z33" s="15">
        <f t="shared" si="2"/>
        <v>0</v>
      </c>
      <c r="AA33" s="15">
        <f t="shared" si="3"/>
        <v>0</v>
      </c>
      <c r="AB33" s="15">
        <f t="shared" si="4"/>
        <v>0</v>
      </c>
      <c r="AC33" s="15">
        <f t="shared" si="5"/>
        <v>5.4</v>
      </c>
      <c r="AD33" s="15">
        <f t="shared" si="6"/>
        <v>5.4</v>
      </c>
      <c r="AE33" s="230"/>
    </row>
    <row r="34" spans="1:31" ht="46.5" customHeight="1">
      <c r="A34" s="244"/>
      <c r="B34" s="268"/>
      <c r="C34" s="220"/>
      <c r="D34" s="217"/>
      <c r="E34" s="220"/>
      <c r="F34" s="217"/>
      <c r="G34" s="49">
        <v>30</v>
      </c>
      <c r="H34" s="46" t="s">
        <v>116</v>
      </c>
      <c r="I34" s="222"/>
      <c r="J34" s="15"/>
      <c r="K34" s="15"/>
      <c r="L34" s="15"/>
      <c r="M34" s="15"/>
      <c r="N34" s="15"/>
      <c r="O34" s="15">
        <v>1</v>
      </c>
      <c r="P34" s="236"/>
      <c r="Q34" s="15">
        <v>0</v>
      </c>
      <c r="R34" s="43">
        <f t="shared" si="7"/>
        <v>0.54</v>
      </c>
      <c r="S34" s="43">
        <f t="shared" si="8"/>
        <v>1.08</v>
      </c>
      <c r="T34" s="43">
        <f t="shared" si="9"/>
        <v>1.62</v>
      </c>
      <c r="U34" s="43">
        <f t="shared" si="10"/>
        <v>3.24</v>
      </c>
      <c r="V34" s="43">
        <f t="shared" si="11"/>
        <v>5.4</v>
      </c>
      <c r="W34" s="13"/>
      <c r="X34" s="15">
        <f t="shared" si="0"/>
        <v>0</v>
      </c>
      <c r="Y34" s="15">
        <f t="shared" si="1"/>
        <v>0</v>
      </c>
      <c r="Z34" s="15">
        <f t="shared" si="2"/>
        <v>0</v>
      </c>
      <c r="AA34" s="15">
        <f t="shared" si="3"/>
        <v>0</v>
      </c>
      <c r="AB34" s="15">
        <f t="shared" si="4"/>
        <v>0</v>
      </c>
      <c r="AC34" s="15">
        <f t="shared" si="5"/>
        <v>5.4</v>
      </c>
      <c r="AD34" s="15">
        <f t="shared" si="6"/>
        <v>5.4</v>
      </c>
      <c r="AE34" s="230"/>
    </row>
    <row r="35" spans="1:31" ht="149.25" customHeight="1">
      <c r="A35" s="244"/>
      <c r="B35" s="268"/>
      <c r="C35" s="220"/>
      <c r="D35" s="217"/>
      <c r="E35" s="220"/>
      <c r="F35" s="217"/>
      <c r="G35" s="49">
        <v>31</v>
      </c>
      <c r="H35" s="46" t="s">
        <v>117</v>
      </c>
      <c r="I35" s="222"/>
      <c r="J35" s="15"/>
      <c r="K35" s="15"/>
      <c r="L35" s="15"/>
      <c r="M35" s="15"/>
      <c r="N35" s="15"/>
      <c r="O35" s="15">
        <v>1</v>
      </c>
      <c r="P35" s="236"/>
      <c r="Q35" s="15">
        <v>0</v>
      </c>
      <c r="R35" s="43">
        <f t="shared" si="7"/>
        <v>0.54</v>
      </c>
      <c r="S35" s="43">
        <f t="shared" si="8"/>
        <v>1.08</v>
      </c>
      <c r="T35" s="43">
        <f t="shared" si="9"/>
        <v>1.62</v>
      </c>
      <c r="U35" s="43">
        <f t="shared" si="10"/>
        <v>3.24</v>
      </c>
      <c r="V35" s="43">
        <f t="shared" si="11"/>
        <v>5.4</v>
      </c>
      <c r="W35" s="13"/>
      <c r="X35" s="15">
        <f t="shared" si="0"/>
        <v>0</v>
      </c>
      <c r="Y35" s="15">
        <f t="shared" si="1"/>
        <v>0</v>
      </c>
      <c r="Z35" s="15">
        <f t="shared" si="2"/>
        <v>0</v>
      </c>
      <c r="AA35" s="15">
        <f t="shared" si="3"/>
        <v>0</v>
      </c>
      <c r="AB35" s="15">
        <f t="shared" si="4"/>
        <v>0</v>
      </c>
      <c r="AC35" s="15">
        <f t="shared" si="5"/>
        <v>5.4</v>
      </c>
      <c r="AD35" s="15">
        <f t="shared" si="6"/>
        <v>5.4</v>
      </c>
      <c r="AE35" s="230"/>
    </row>
    <row r="36" spans="1:31" ht="45.75" customHeight="1">
      <c r="A36" s="244"/>
      <c r="B36" s="268"/>
      <c r="C36" s="220"/>
      <c r="D36" s="217"/>
      <c r="E36" s="221"/>
      <c r="F36" s="218"/>
      <c r="G36" s="49">
        <v>32</v>
      </c>
      <c r="H36" s="46" t="s">
        <v>118</v>
      </c>
      <c r="I36" s="222"/>
      <c r="J36" s="15"/>
      <c r="K36" s="15"/>
      <c r="L36" s="15"/>
      <c r="M36" s="15"/>
      <c r="N36" s="15"/>
      <c r="O36" s="15">
        <v>1</v>
      </c>
      <c r="P36" s="236"/>
      <c r="Q36" s="15">
        <v>0</v>
      </c>
      <c r="R36" s="43">
        <f t="shared" si="7"/>
        <v>0.54</v>
      </c>
      <c r="S36" s="43">
        <f t="shared" si="8"/>
        <v>1.08</v>
      </c>
      <c r="T36" s="43">
        <f t="shared" si="9"/>
        <v>1.62</v>
      </c>
      <c r="U36" s="43">
        <f t="shared" si="10"/>
        <v>3.24</v>
      </c>
      <c r="V36" s="43">
        <f t="shared" si="11"/>
        <v>5.4</v>
      </c>
      <c r="W36" s="13"/>
      <c r="X36" s="15">
        <f t="shared" si="0"/>
        <v>0</v>
      </c>
      <c r="Y36" s="15">
        <f t="shared" si="1"/>
        <v>0</v>
      </c>
      <c r="Z36" s="15">
        <f t="shared" si="2"/>
        <v>0</v>
      </c>
      <c r="AA36" s="15">
        <f t="shared" si="3"/>
        <v>0</v>
      </c>
      <c r="AB36" s="15">
        <f t="shared" si="4"/>
        <v>0</v>
      </c>
      <c r="AC36" s="15">
        <f t="shared" si="5"/>
        <v>5.4</v>
      </c>
      <c r="AD36" s="15">
        <f t="shared" si="6"/>
        <v>5.4</v>
      </c>
      <c r="AE36" s="230"/>
    </row>
    <row r="37" spans="1:31" ht="30.75" customHeight="1">
      <c r="A37" s="244"/>
      <c r="B37" s="268"/>
      <c r="C37" s="220"/>
      <c r="D37" s="217"/>
      <c r="E37" s="219"/>
      <c r="F37" s="216" t="s">
        <v>119</v>
      </c>
      <c r="G37" s="49">
        <v>33</v>
      </c>
      <c r="H37" s="46" t="s">
        <v>121</v>
      </c>
      <c r="I37" s="222"/>
      <c r="J37" s="15"/>
      <c r="K37" s="15"/>
      <c r="L37" s="15"/>
      <c r="M37" s="15"/>
      <c r="N37" s="15"/>
      <c r="O37" s="15">
        <v>1</v>
      </c>
      <c r="P37" s="236"/>
      <c r="Q37" s="15">
        <v>0</v>
      </c>
      <c r="R37" s="43">
        <f t="shared" si="7"/>
        <v>0.54</v>
      </c>
      <c r="S37" s="43">
        <f t="shared" si="8"/>
        <v>1.08</v>
      </c>
      <c r="T37" s="43">
        <f t="shared" si="9"/>
        <v>1.62</v>
      </c>
      <c r="U37" s="43">
        <f t="shared" si="10"/>
        <v>3.24</v>
      </c>
      <c r="V37" s="43">
        <f t="shared" si="11"/>
        <v>5.4</v>
      </c>
      <c r="W37" s="13"/>
      <c r="X37" s="15">
        <f t="shared" si="0"/>
        <v>0</v>
      </c>
      <c r="Y37" s="15">
        <f t="shared" si="1"/>
        <v>0</v>
      </c>
      <c r="Z37" s="15">
        <f t="shared" si="2"/>
        <v>0</v>
      </c>
      <c r="AA37" s="15">
        <f t="shared" si="3"/>
        <v>0</v>
      </c>
      <c r="AB37" s="15">
        <f t="shared" si="4"/>
        <v>0</v>
      </c>
      <c r="AC37" s="15">
        <f t="shared" si="5"/>
        <v>5.4</v>
      </c>
      <c r="AD37" s="15">
        <f t="shared" si="6"/>
        <v>5.4</v>
      </c>
      <c r="AE37" s="230"/>
    </row>
    <row r="38" spans="1:31" ht="30.75" customHeight="1">
      <c r="A38" s="244"/>
      <c r="B38" s="268"/>
      <c r="C38" s="220"/>
      <c r="D38" s="217"/>
      <c r="E38" s="220"/>
      <c r="F38" s="217"/>
      <c r="G38" s="49">
        <v>34</v>
      </c>
      <c r="H38" s="40" t="s">
        <v>120</v>
      </c>
      <c r="I38" s="222"/>
      <c r="J38" s="15"/>
      <c r="K38" s="15"/>
      <c r="L38" s="15"/>
      <c r="M38" s="15"/>
      <c r="N38" s="15"/>
      <c r="O38" s="15">
        <v>1</v>
      </c>
      <c r="P38" s="236"/>
      <c r="Q38" s="15">
        <v>0</v>
      </c>
      <c r="R38" s="43">
        <f t="shared" si="7"/>
        <v>0.54</v>
      </c>
      <c r="S38" s="43">
        <f t="shared" si="8"/>
        <v>1.08</v>
      </c>
      <c r="T38" s="43">
        <f t="shared" si="9"/>
        <v>1.62</v>
      </c>
      <c r="U38" s="43">
        <f t="shared" si="10"/>
        <v>3.24</v>
      </c>
      <c r="V38" s="43">
        <f t="shared" si="11"/>
        <v>5.4</v>
      </c>
      <c r="W38" s="13"/>
      <c r="X38" s="15">
        <f t="shared" si="0"/>
        <v>0</v>
      </c>
      <c r="Y38" s="15">
        <f t="shared" si="1"/>
        <v>0</v>
      </c>
      <c r="Z38" s="15">
        <f t="shared" si="2"/>
        <v>0</v>
      </c>
      <c r="AA38" s="15">
        <f t="shared" si="3"/>
        <v>0</v>
      </c>
      <c r="AB38" s="15">
        <f t="shared" si="4"/>
        <v>0</v>
      </c>
      <c r="AC38" s="15">
        <f t="shared" si="5"/>
        <v>5.4</v>
      </c>
      <c r="AD38" s="15">
        <f t="shared" si="6"/>
        <v>5.4</v>
      </c>
      <c r="AE38" s="230"/>
    </row>
    <row r="39" spans="1:31" ht="51" customHeight="1">
      <c r="A39" s="244"/>
      <c r="B39" s="268"/>
      <c r="C39" s="221"/>
      <c r="D39" s="218"/>
      <c r="E39" s="221"/>
      <c r="F39" s="218"/>
      <c r="G39" s="49">
        <v>35</v>
      </c>
      <c r="H39" s="46" t="s">
        <v>122</v>
      </c>
      <c r="I39" s="222"/>
      <c r="J39" s="15"/>
      <c r="K39" s="15"/>
      <c r="L39" s="15"/>
      <c r="M39" s="15"/>
      <c r="N39" s="15"/>
      <c r="O39" s="15">
        <v>1</v>
      </c>
      <c r="P39" s="236"/>
      <c r="Q39" s="15">
        <v>0</v>
      </c>
      <c r="R39" s="43">
        <f t="shared" si="7"/>
        <v>0.54</v>
      </c>
      <c r="S39" s="43">
        <f t="shared" si="8"/>
        <v>1.08</v>
      </c>
      <c r="T39" s="43">
        <f t="shared" si="9"/>
        <v>1.62</v>
      </c>
      <c r="U39" s="43">
        <f t="shared" si="10"/>
        <v>3.24</v>
      </c>
      <c r="V39" s="43">
        <f t="shared" si="11"/>
        <v>5.4</v>
      </c>
      <c r="W39" s="13"/>
      <c r="X39" s="15">
        <f t="shared" si="0"/>
        <v>0</v>
      </c>
      <c r="Y39" s="15">
        <f t="shared" si="1"/>
        <v>0</v>
      </c>
      <c r="Z39" s="15">
        <f t="shared" si="2"/>
        <v>0</v>
      </c>
      <c r="AA39" s="15">
        <f t="shared" si="3"/>
        <v>0</v>
      </c>
      <c r="AB39" s="15">
        <f t="shared" si="4"/>
        <v>0</v>
      </c>
      <c r="AC39" s="15">
        <f t="shared" si="5"/>
        <v>5.4</v>
      </c>
      <c r="AD39" s="15">
        <f t="shared" si="6"/>
        <v>5.4</v>
      </c>
      <c r="AE39" s="230"/>
    </row>
    <row r="40" spans="1:31" ht="92.25" customHeight="1">
      <c r="A40" s="244"/>
      <c r="B40" s="268"/>
      <c r="C40" s="219"/>
      <c r="D40" s="216" t="s">
        <v>6</v>
      </c>
      <c r="E40" s="219"/>
      <c r="F40" s="216" t="s">
        <v>123</v>
      </c>
      <c r="G40" s="49">
        <v>36</v>
      </c>
      <c r="H40" s="46" t="s">
        <v>124</v>
      </c>
      <c r="I40" s="222" t="s">
        <v>295</v>
      </c>
      <c r="J40" s="15"/>
      <c r="K40" s="15"/>
      <c r="L40" s="15"/>
      <c r="M40" s="15"/>
      <c r="N40" s="15"/>
      <c r="O40" s="15">
        <v>1</v>
      </c>
      <c r="P40" s="236"/>
      <c r="Q40" s="15">
        <v>0</v>
      </c>
      <c r="R40" s="43">
        <f t="shared" si="7"/>
        <v>0.54</v>
      </c>
      <c r="S40" s="43">
        <f t="shared" si="8"/>
        <v>1.08</v>
      </c>
      <c r="T40" s="43">
        <f t="shared" si="9"/>
        <v>1.62</v>
      </c>
      <c r="U40" s="43">
        <f t="shared" si="10"/>
        <v>3.24</v>
      </c>
      <c r="V40" s="43">
        <f t="shared" si="11"/>
        <v>5.4</v>
      </c>
      <c r="W40" s="13"/>
      <c r="X40" s="15">
        <f t="shared" si="0"/>
        <v>0</v>
      </c>
      <c r="Y40" s="15">
        <f t="shared" si="1"/>
        <v>0</v>
      </c>
      <c r="Z40" s="15">
        <f t="shared" si="2"/>
        <v>0</v>
      </c>
      <c r="AA40" s="15">
        <f t="shared" si="3"/>
        <v>0</v>
      </c>
      <c r="AB40" s="15">
        <f t="shared" si="4"/>
        <v>0</v>
      </c>
      <c r="AC40" s="15">
        <f t="shared" si="5"/>
        <v>5.4</v>
      </c>
      <c r="AD40" s="15">
        <f t="shared" si="6"/>
        <v>5.4</v>
      </c>
      <c r="AE40" s="230"/>
    </row>
    <row r="41" spans="1:31" ht="160.5" customHeight="1">
      <c r="A41" s="244"/>
      <c r="B41" s="268"/>
      <c r="C41" s="221"/>
      <c r="D41" s="218"/>
      <c r="E41" s="221"/>
      <c r="F41" s="218"/>
      <c r="G41" s="49">
        <v>37</v>
      </c>
      <c r="H41" s="46" t="s">
        <v>125</v>
      </c>
      <c r="I41" s="222"/>
      <c r="J41" s="15"/>
      <c r="K41" s="15"/>
      <c r="L41" s="15"/>
      <c r="M41" s="15"/>
      <c r="N41" s="15"/>
      <c r="O41" s="15">
        <v>1</v>
      </c>
      <c r="P41" s="236"/>
      <c r="Q41" s="15">
        <v>0</v>
      </c>
      <c r="R41" s="43">
        <f t="shared" si="7"/>
        <v>0.54</v>
      </c>
      <c r="S41" s="43">
        <f t="shared" si="8"/>
        <v>1.08</v>
      </c>
      <c r="T41" s="43">
        <f t="shared" si="9"/>
        <v>1.62</v>
      </c>
      <c r="U41" s="43">
        <f t="shared" si="10"/>
        <v>3.24</v>
      </c>
      <c r="V41" s="43">
        <f t="shared" si="11"/>
        <v>5.4</v>
      </c>
      <c r="W41" s="13"/>
      <c r="X41" s="15">
        <f t="shared" si="0"/>
        <v>0</v>
      </c>
      <c r="Y41" s="15">
        <f t="shared" si="1"/>
        <v>0</v>
      </c>
      <c r="Z41" s="15">
        <f t="shared" si="2"/>
        <v>0</v>
      </c>
      <c r="AA41" s="15">
        <f t="shared" si="3"/>
        <v>0</v>
      </c>
      <c r="AB41" s="15">
        <f t="shared" si="4"/>
        <v>0</v>
      </c>
      <c r="AC41" s="15">
        <f t="shared" si="5"/>
        <v>5.4</v>
      </c>
      <c r="AD41" s="15">
        <f t="shared" si="6"/>
        <v>5.4</v>
      </c>
      <c r="AE41" s="231"/>
    </row>
    <row r="42" spans="1:31" ht="78.75" customHeight="1">
      <c r="A42" s="244">
        <v>2</v>
      </c>
      <c r="B42" s="243" t="s">
        <v>19</v>
      </c>
      <c r="C42" s="219"/>
      <c r="D42" s="216" t="s">
        <v>24</v>
      </c>
      <c r="E42" s="219"/>
      <c r="F42" s="216" t="s">
        <v>126</v>
      </c>
      <c r="G42" s="49">
        <v>1</v>
      </c>
      <c r="H42" s="46" t="s">
        <v>127</v>
      </c>
      <c r="I42" s="222" t="s">
        <v>296</v>
      </c>
      <c r="J42" s="15"/>
      <c r="K42" s="15"/>
      <c r="L42" s="15"/>
      <c r="M42" s="15"/>
      <c r="N42" s="15"/>
      <c r="O42" s="15">
        <v>1</v>
      </c>
      <c r="P42" s="236"/>
      <c r="Q42" s="15">
        <v>0</v>
      </c>
      <c r="R42" s="44">
        <f>7.2*0.1</f>
        <v>0.72000000000000008</v>
      </c>
      <c r="S42" s="44">
        <f>7.2*0.2</f>
        <v>1.4400000000000002</v>
      </c>
      <c r="T42" s="44">
        <f>7.2*0.3</f>
        <v>2.16</v>
      </c>
      <c r="U42" s="44">
        <f>7.2*0.6</f>
        <v>4.32</v>
      </c>
      <c r="V42" s="44">
        <f>7.2*1</f>
        <v>7.2</v>
      </c>
      <c r="W42" s="13"/>
      <c r="X42" s="15">
        <f t="shared" si="0"/>
        <v>0</v>
      </c>
      <c r="Y42" s="15">
        <f t="shared" si="1"/>
        <v>0</v>
      </c>
      <c r="Z42" s="15">
        <f t="shared" si="2"/>
        <v>0</v>
      </c>
      <c r="AA42" s="15">
        <f t="shared" si="3"/>
        <v>0</v>
      </c>
      <c r="AB42" s="15">
        <f t="shared" si="4"/>
        <v>0</v>
      </c>
      <c r="AC42" s="15">
        <f t="shared" si="5"/>
        <v>7.2</v>
      </c>
      <c r="AD42" s="15">
        <f t="shared" si="6"/>
        <v>7.2</v>
      </c>
      <c r="AE42" s="232">
        <f>SUM(AD42:AD55)</f>
        <v>99.999999999999972</v>
      </c>
    </row>
    <row r="43" spans="1:31" ht="51.75" customHeight="1">
      <c r="A43" s="244"/>
      <c r="B43" s="243"/>
      <c r="C43" s="220"/>
      <c r="D43" s="217"/>
      <c r="E43" s="220"/>
      <c r="F43" s="217"/>
      <c r="G43" s="49">
        <v>2</v>
      </c>
      <c r="H43" s="46" t="s">
        <v>128</v>
      </c>
      <c r="I43" s="222"/>
      <c r="J43" s="15"/>
      <c r="K43" s="15"/>
      <c r="L43" s="15"/>
      <c r="M43" s="15"/>
      <c r="N43" s="15"/>
      <c r="O43" s="15">
        <v>1</v>
      </c>
      <c r="P43" s="236"/>
      <c r="Q43" s="15">
        <v>0</v>
      </c>
      <c r="R43" s="44">
        <f t="shared" ref="R43:R47" si="12">7.2*0.1</f>
        <v>0.72000000000000008</v>
      </c>
      <c r="S43" s="44">
        <f t="shared" ref="S43:S47" si="13">7.2*0.2</f>
        <v>1.4400000000000002</v>
      </c>
      <c r="T43" s="44">
        <f t="shared" ref="T43:T47" si="14">7.2*0.3</f>
        <v>2.16</v>
      </c>
      <c r="U43" s="44">
        <f t="shared" ref="U43:U47" si="15">7.2*0.6</f>
        <v>4.32</v>
      </c>
      <c r="V43" s="44">
        <f t="shared" ref="V43:V47" si="16">7.2*1</f>
        <v>7.2</v>
      </c>
      <c r="W43" s="13"/>
      <c r="X43" s="15">
        <f t="shared" si="0"/>
        <v>0</v>
      </c>
      <c r="Y43" s="15">
        <f t="shared" si="1"/>
        <v>0</v>
      </c>
      <c r="Z43" s="15">
        <f t="shared" si="2"/>
        <v>0</v>
      </c>
      <c r="AA43" s="15">
        <f t="shared" si="3"/>
        <v>0</v>
      </c>
      <c r="AB43" s="15">
        <f t="shared" si="4"/>
        <v>0</v>
      </c>
      <c r="AC43" s="15">
        <f t="shared" si="5"/>
        <v>7.2</v>
      </c>
      <c r="AD43" s="15">
        <f t="shared" si="6"/>
        <v>7.2</v>
      </c>
      <c r="AE43" s="232"/>
    </row>
    <row r="44" spans="1:31" ht="53.25" customHeight="1">
      <c r="A44" s="244"/>
      <c r="B44" s="243"/>
      <c r="C44" s="220"/>
      <c r="D44" s="217"/>
      <c r="E44" s="220"/>
      <c r="F44" s="217"/>
      <c r="G44" s="49">
        <v>3</v>
      </c>
      <c r="H44" s="46" t="s">
        <v>129</v>
      </c>
      <c r="I44" s="222"/>
      <c r="J44" s="15"/>
      <c r="K44" s="15"/>
      <c r="L44" s="15"/>
      <c r="M44" s="15"/>
      <c r="N44" s="15"/>
      <c r="O44" s="15">
        <v>1</v>
      </c>
      <c r="P44" s="37"/>
      <c r="Q44" s="15">
        <v>0</v>
      </c>
      <c r="R44" s="44">
        <f t="shared" si="12"/>
        <v>0.72000000000000008</v>
      </c>
      <c r="S44" s="44">
        <f t="shared" si="13"/>
        <v>1.4400000000000002</v>
      </c>
      <c r="T44" s="44">
        <f t="shared" si="14"/>
        <v>2.16</v>
      </c>
      <c r="U44" s="44">
        <f t="shared" si="15"/>
        <v>4.32</v>
      </c>
      <c r="V44" s="44">
        <f t="shared" si="16"/>
        <v>7.2</v>
      </c>
      <c r="W44" s="13"/>
      <c r="X44" s="15">
        <f t="shared" si="0"/>
        <v>0</v>
      </c>
      <c r="Y44" s="15">
        <f t="shared" si="1"/>
        <v>0</v>
      </c>
      <c r="Z44" s="15">
        <f t="shared" si="2"/>
        <v>0</v>
      </c>
      <c r="AA44" s="15">
        <f t="shared" si="3"/>
        <v>0</v>
      </c>
      <c r="AB44" s="15">
        <f t="shared" si="4"/>
        <v>0</v>
      </c>
      <c r="AC44" s="15">
        <f t="shared" si="5"/>
        <v>7.2</v>
      </c>
      <c r="AD44" s="15">
        <f t="shared" si="6"/>
        <v>7.2</v>
      </c>
      <c r="AE44" s="232"/>
    </row>
    <row r="45" spans="1:31" ht="55.5" customHeight="1">
      <c r="A45" s="244"/>
      <c r="B45" s="243"/>
      <c r="C45" s="220"/>
      <c r="D45" s="217"/>
      <c r="E45" s="220"/>
      <c r="F45" s="217"/>
      <c r="G45" s="49">
        <v>4</v>
      </c>
      <c r="H45" s="46" t="s">
        <v>130</v>
      </c>
      <c r="I45" s="222"/>
      <c r="J45" s="15"/>
      <c r="K45" s="15"/>
      <c r="L45" s="15"/>
      <c r="M45" s="15"/>
      <c r="N45" s="15"/>
      <c r="O45" s="15">
        <v>1</v>
      </c>
      <c r="P45" s="236"/>
      <c r="Q45" s="15">
        <v>0</v>
      </c>
      <c r="R45" s="44">
        <f t="shared" si="12"/>
        <v>0.72000000000000008</v>
      </c>
      <c r="S45" s="44">
        <f t="shared" si="13"/>
        <v>1.4400000000000002</v>
      </c>
      <c r="T45" s="44">
        <f t="shared" si="14"/>
        <v>2.16</v>
      </c>
      <c r="U45" s="44">
        <f t="shared" si="15"/>
        <v>4.32</v>
      </c>
      <c r="V45" s="44">
        <f t="shared" si="16"/>
        <v>7.2</v>
      </c>
      <c r="W45" s="13"/>
      <c r="X45" s="15">
        <f t="shared" si="0"/>
        <v>0</v>
      </c>
      <c r="Y45" s="15">
        <f t="shared" si="1"/>
        <v>0</v>
      </c>
      <c r="Z45" s="15">
        <f t="shared" si="2"/>
        <v>0</v>
      </c>
      <c r="AA45" s="15">
        <f t="shared" si="3"/>
        <v>0</v>
      </c>
      <c r="AB45" s="15">
        <f t="shared" si="4"/>
        <v>0</v>
      </c>
      <c r="AC45" s="15">
        <f t="shared" si="5"/>
        <v>7.2</v>
      </c>
      <c r="AD45" s="15">
        <f t="shared" si="6"/>
        <v>7.2</v>
      </c>
      <c r="AE45" s="232"/>
    </row>
    <row r="46" spans="1:31" ht="63.75" customHeight="1">
      <c r="A46" s="244"/>
      <c r="B46" s="243"/>
      <c r="C46" s="220"/>
      <c r="D46" s="217"/>
      <c r="E46" s="220"/>
      <c r="F46" s="217"/>
      <c r="G46" s="49">
        <v>5</v>
      </c>
      <c r="H46" s="46" t="s">
        <v>131</v>
      </c>
      <c r="I46" s="222"/>
      <c r="J46" s="15"/>
      <c r="K46" s="15"/>
      <c r="L46" s="15"/>
      <c r="M46" s="15"/>
      <c r="N46" s="15"/>
      <c r="O46" s="15">
        <v>1</v>
      </c>
      <c r="P46" s="236"/>
      <c r="Q46" s="15">
        <v>0</v>
      </c>
      <c r="R46" s="44">
        <f t="shared" si="12"/>
        <v>0.72000000000000008</v>
      </c>
      <c r="S46" s="44">
        <f t="shared" si="13"/>
        <v>1.4400000000000002</v>
      </c>
      <c r="T46" s="44">
        <f t="shared" si="14"/>
        <v>2.16</v>
      </c>
      <c r="U46" s="44">
        <f t="shared" si="15"/>
        <v>4.32</v>
      </c>
      <c r="V46" s="44">
        <f t="shared" si="16"/>
        <v>7.2</v>
      </c>
      <c r="W46" s="13"/>
      <c r="X46" s="15">
        <f t="shared" si="0"/>
        <v>0</v>
      </c>
      <c r="Y46" s="15">
        <f t="shared" si="1"/>
        <v>0</v>
      </c>
      <c r="Z46" s="15">
        <f t="shared" si="2"/>
        <v>0</v>
      </c>
      <c r="AA46" s="15">
        <f t="shared" si="3"/>
        <v>0</v>
      </c>
      <c r="AB46" s="15">
        <f t="shared" si="4"/>
        <v>0</v>
      </c>
      <c r="AC46" s="15">
        <f t="shared" si="5"/>
        <v>7.2</v>
      </c>
      <c r="AD46" s="15">
        <f t="shared" si="6"/>
        <v>7.2</v>
      </c>
      <c r="AE46" s="232"/>
    </row>
    <row r="47" spans="1:31" ht="99" customHeight="1">
      <c r="A47" s="244"/>
      <c r="B47" s="243"/>
      <c r="C47" s="220"/>
      <c r="D47" s="217"/>
      <c r="E47" s="220"/>
      <c r="F47" s="217"/>
      <c r="G47" s="49">
        <v>6</v>
      </c>
      <c r="H47" s="46" t="s">
        <v>132</v>
      </c>
      <c r="I47" s="222"/>
      <c r="J47" s="15"/>
      <c r="K47" s="15"/>
      <c r="L47" s="15"/>
      <c r="M47" s="15"/>
      <c r="N47" s="15"/>
      <c r="O47" s="15">
        <v>1</v>
      </c>
      <c r="P47" s="236"/>
      <c r="Q47" s="15">
        <v>0</v>
      </c>
      <c r="R47" s="44">
        <f t="shared" si="12"/>
        <v>0.72000000000000008</v>
      </c>
      <c r="S47" s="44">
        <f t="shared" si="13"/>
        <v>1.4400000000000002</v>
      </c>
      <c r="T47" s="44">
        <f t="shared" si="14"/>
        <v>2.16</v>
      </c>
      <c r="U47" s="44">
        <f t="shared" si="15"/>
        <v>4.32</v>
      </c>
      <c r="V47" s="44">
        <f t="shared" si="16"/>
        <v>7.2</v>
      </c>
      <c r="W47" s="13"/>
      <c r="X47" s="15">
        <f t="shared" si="0"/>
        <v>0</v>
      </c>
      <c r="Y47" s="15">
        <f t="shared" si="1"/>
        <v>0</v>
      </c>
      <c r="Z47" s="15">
        <f t="shared" si="2"/>
        <v>0</v>
      </c>
      <c r="AA47" s="15">
        <f t="shared" si="3"/>
        <v>0</v>
      </c>
      <c r="AB47" s="15">
        <f t="shared" si="4"/>
        <v>0</v>
      </c>
      <c r="AC47" s="15">
        <f t="shared" si="5"/>
        <v>7.2</v>
      </c>
      <c r="AD47" s="15">
        <f t="shared" si="6"/>
        <v>7.2</v>
      </c>
      <c r="AE47" s="232"/>
    </row>
    <row r="48" spans="1:31" ht="84.75" customHeight="1">
      <c r="A48" s="244"/>
      <c r="B48" s="243"/>
      <c r="C48" s="221"/>
      <c r="D48" s="218"/>
      <c r="E48" s="221"/>
      <c r="F48" s="218"/>
      <c r="G48" s="49">
        <v>7</v>
      </c>
      <c r="H48" s="46" t="s">
        <v>133</v>
      </c>
      <c r="I48" s="222"/>
      <c r="J48" s="15"/>
      <c r="K48" s="15"/>
      <c r="L48" s="15"/>
      <c r="M48" s="15"/>
      <c r="N48" s="15"/>
      <c r="O48" s="15">
        <v>1</v>
      </c>
      <c r="P48" s="236"/>
      <c r="Q48" s="15">
        <v>0</v>
      </c>
      <c r="R48" s="43">
        <f>7.1*0.1</f>
        <v>0.71</v>
      </c>
      <c r="S48" s="43">
        <f>7.1*0.2</f>
        <v>1.42</v>
      </c>
      <c r="T48" s="43">
        <f>7.1*0.3</f>
        <v>2.13</v>
      </c>
      <c r="U48" s="43">
        <f>7.1*0.6</f>
        <v>4.26</v>
      </c>
      <c r="V48" s="43">
        <f>7.1*1</f>
        <v>7.1</v>
      </c>
      <c r="W48" s="13"/>
      <c r="X48" s="15">
        <f t="shared" si="0"/>
        <v>0</v>
      </c>
      <c r="Y48" s="15">
        <f t="shared" si="1"/>
        <v>0</v>
      </c>
      <c r="Z48" s="15">
        <f t="shared" si="2"/>
        <v>0</v>
      </c>
      <c r="AA48" s="15">
        <f t="shared" si="3"/>
        <v>0</v>
      </c>
      <c r="AB48" s="15">
        <f t="shared" si="4"/>
        <v>0</v>
      </c>
      <c r="AC48" s="15">
        <f t="shared" si="5"/>
        <v>7.1</v>
      </c>
      <c r="AD48" s="15">
        <f t="shared" si="6"/>
        <v>7.1</v>
      </c>
      <c r="AE48" s="232"/>
    </row>
    <row r="49" spans="1:31" ht="66.75" customHeight="1">
      <c r="A49" s="244"/>
      <c r="B49" s="243"/>
      <c r="C49" s="219"/>
      <c r="D49" s="216" t="s">
        <v>25</v>
      </c>
      <c r="E49" s="219"/>
      <c r="F49" s="216" t="s">
        <v>134</v>
      </c>
      <c r="G49" s="49">
        <v>8</v>
      </c>
      <c r="H49" s="46" t="s">
        <v>135</v>
      </c>
      <c r="I49" s="222"/>
      <c r="J49" s="15"/>
      <c r="K49" s="15"/>
      <c r="L49" s="15"/>
      <c r="M49" s="15"/>
      <c r="N49" s="15"/>
      <c r="O49" s="15">
        <v>1</v>
      </c>
      <c r="P49" s="236"/>
      <c r="Q49" s="15">
        <v>0</v>
      </c>
      <c r="R49" s="43">
        <f t="shared" ref="R49:R55" si="17">7.1*0.1</f>
        <v>0.71</v>
      </c>
      <c r="S49" s="43">
        <f t="shared" ref="S49:S55" si="18">7.1*0.2</f>
        <v>1.42</v>
      </c>
      <c r="T49" s="43">
        <f t="shared" ref="T49:T55" si="19">7.1*0.3</f>
        <v>2.13</v>
      </c>
      <c r="U49" s="43">
        <f t="shared" ref="U49:U55" si="20">7.1*0.6</f>
        <v>4.26</v>
      </c>
      <c r="V49" s="43">
        <f t="shared" ref="V49:V55" si="21">7.1*1</f>
        <v>7.1</v>
      </c>
      <c r="W49" s="13"/>
      <c r="X49" s="15">
        <f t="shared" si="0"/>
        <v>0</v>
      </c>
      <c r="Y49" s="15">
        <f t="shared" si="1"/>
        <v>0</v>
      </c>
      <c r="Z49" s="15">
        <f t="shared" si="2"/>
        <v>0</v>
      </c>
      <c r="AA49" s="15">
        <f t="shared" si="3"/>
        <v>0</v>
      </c>
      <c r="AB49" s="15">
        <f t="shared" si="4"/>
        <v>0</v>
      </c>
      <c r="AC49" s="15">
        <f t="shared" si="5"/>
        <v>7.1</v>
      </c>
      <c r="AD49" s="15">
        <f t="shared" si="6"/>
        <v>7.1</v>
      </c>
      <c r="AE49" s="232"/>
    </row>
    <row r="50" spans="1:31" ht="151.5" customHeight="1">
      <c r="A50" s="244"/>
      <c r="B50" s="243"/>
      <c r="C50" s="220"/>
      <c r="D50" s="217"/>
      <c r="E50" s="220"/>
      <c r="F50" s="217"/>
      <c r="G50" s="49">
        <v>9</v>
      </c>
      <c r="H50" s="46" t="s">
        <v>136</v>
      </c>
      <c r="I50" s="222"/>
      <c r="J50" s="15"/>
      <c r="K50" s="15"/>
      <c r="L50" s="15"/>
      <c r="M50" s="15"/>
      <c r="N50" s="15"/>
      <c r="O50" s="15">
        <v>1</v>
      </c>
      <c r="P50" s="236"/>
      <c r="Q50" s="15">
        <v>0</v>
      </c>
      <c r="R50" s="43">
        <f t="shared" si="17"/>
        <v>0.71</v>
      </c>
      <c r="S50" s="43">
        <f t="shared" si="18"/>
        <v>1.42</v>
      </c>
      <c r="T50" s="43">
        <f t="shared" si="19"/>
        <v>2.13</v>
      </c>
      <c r="U50" s="43">
        <f t="shared" si="20"/>
        <v>4.26</v>
      </c>
      <c r="V50" s="43">
        <f t="shared" si="21"/>
        <v>7.1</v>
      </c>
      <c r="W50" s="13"/>
      <c r="X50" s="15">
        <f t="shared" si="0"/>
        <v>0</v>
      </c>
      <c r="Y50" s="15">
        <f t="shared" si="1"/>
        <v>0</v>
      </c>
      <c r="Z50" s="15">
        <f t="shared" si="2"/>
        <v>0</v>
      </c>
      <c r="AA50" s="15">
        <f t="shared" si="3"/>
        <v>0</v>
      </c>
      <c r="AB50" s="15">
        <f t="shared" si="4"/>
        <v>0</v>
      </c>
      <c r="AC50" s="15">
        <f t="shared" si="5"/>
        <v>7.1</v>
      </c>
      <c r="AD50" s="15">
        <f t="shared" si="6"/>
        <v>7.1</v>
      </c>
      <c r="AE50" s="232"/>
    </row>
    <row r="51" spans="1:31" ht="85.5" customHeight="1">
      <c r="A51" s="244"/>
      <c r="B51" s="243"/>
      <c r="C51" s="220"/>
      <c r="D51" s="217"/>
      <c r="E51" s="220"/>
      <c r="F51" s="217"/>
      <c r="G51" s="49">
        <v>10</v>
      </c>
      <c r="H51" s="18" t="s">
        <v>137</v>
      </c>
      <c r="I51" s="222"/>
      <c r="J51" s="15"/>
      <c r="K51" s="15"/>
      <c r="L51" s="15"/>
      <c r="M51" s="15"/>
      <c r="N51" s="15"/>
      <c r="O51" s="15">
        <v>1</v>
      </c>
      <c r="P51" s="236"/>
      <c r="Q51" s="15">
        <v>0</v>
      </c>
      <c r="R51" s="43">
        <f t="shared" si="17"/>
        <v>0.71</v>
      </c>
      <c r="S51" s="43">
        <f t="shared" si="18"/>
        <v>1.42</v>
      </c>
      <c r="T51" s="43">
        <f t="shared" si="19"/>
        <v>2.13</v>
      </c>
      <c r="U51" s="43">
        <f t="shared" si="20"/>
        <v>4.26</v>
      </c>
      <c r="V51" s="43">
        <f t="shared" si="21"/>
        <v>7.1</v>
      </c>
      <c r="W51" s="13"/>
      <c r="X51" s="15">
        <f t="shared" si="0"/>
        <v>0</v>
      </c>
      <c r="Y51" s="15">
        <f t="shared" si="1"/>
        <v>0</v>
      </c>
      <c r="Z51" s="15">
        <f t="shared" si="2"/>
        <v>0</v>
      </c>
      <c r="AA51" s="15">
        <f t="shared" si="3"/>
        <v>0</v>
      </c>
      <c r="AB51" s="15">
        <f t="shared" si="4"/>
        <v>0</v>
      </c>
      <c r="AC51" s="15">
        <f t="shared" si="5"/>
        <v>7.1</v>
      </c>
      <c r="AD51" s="15">
        <f t="shared" si="6"/>
        <v>7.1</v>
      </c>
      <c r="AE51" s="232"/>
    </row>
    <row r="52" spans="1:31" ht="81" customHeight="1">
      <c r="A52" s="244"/>
      <c r="B52" s="243"/>
      <c r="C52" s="221"/>
      <c r="D52" s="218"/>
      <c r="E52" s="221"/>
      <c r="F52" s="218"/>
      <c r="G52" s="49">
        <v>11</v>
      </c>
      <c r="H52" s="46" t="s">
        <v>138</v>
      </c>
      <c r="I52" s="222"/>
      <c r="J52" s="15"/>
      <c r="K52" s="15"/>
      <c r="L52" s="15"/>
      <c r="M52" s="15"/>
      <c r="N52" s="15"/>
      <c r="O52" s="15">
        <v>1</v>
      </c>
      <c r="P52" s="236"/>
      <c r="Q52" s="15">
        <v>0</v>
      </c>
      <c r="R52" s="43">
        <f t="shared" si="17"/>
        <v>0.71</v>
      </c>
      <c r="S52" s="43">
        <f t="shared" si="18"/>
        <v>1.42</v>
      </c>
      <c r="T52" s="43">
        <f t="shared" si="19"/>
        <v>2.13</v>
      </c>
      <c r="U52" s="43">
        <f t="shared" si="20"/>
        <v>4.26</v>
      </c>
      <c r="V52" s="43">
        <f t="shared" si="21"/>
        <v>7.1</v>
      </c>
      <c r="W52" s="13"/>
      <c r="X52" s="15">
        <f t="shared" si="0"/>
        <v>0</v>
      </c>
      <c r="Y52" s="15">
        <f t="shared" si="1"/>
        <v>0</v>
      </c>
      <c r="Z52" s="15">
        <f t="shared" si="2"/>
        <v>0</v>
      </c>
      <c r="AA52" s="15">
        <f t="shared" si="3"/>
        <v>0</v>
      </c>
      <c r="AB52" s="15">
        <f t="shared" si="4"/>
        <v>0</v>
      </c>
      <c r="AC52" s="15">
        <f t="shared" si="5"/>
        <v>7.1</v>
      </c>
      <c r="AD52" s="15">
        <f t="shared" si="6"/>
        <v>7.1</v>
      </c>
      <c r="AE52" s="232"/>
    </row>
    <row r="53" spans="1:31" ht="137.25" customHeight="1">
      <c r="A53" s="244"/>
      <c r="B53" s="243"/>
      <c r="C53" s="17"/>
      <c r="D53" s="46" t="s">
        <v>26</v>
      </c>
      <c r="E53" s="49"/>
      <c r="F53" s="35" t="s">
        <v>139</v>
      </c>
      <c r="G53" s="49">
        <v>12</v>
      </c>
      <c r="H53" s="46" t="s">
        <v>140</v>
      </c>
      <c r="I53" s="46" t="s">
        <v>246</v>
      </c>
      <c r="J53" s="15"/>
      <c r="K53" s="15"/>
      <c r="L53" s="15"/>
      <c r="M53" s="15"/>
      <c r="N53" s="15"/>
      <c r="O53" s="15">
        <v>1</v>
      </c>
      <c r="P53" s="236"/>
      <c r="Q53" s="15">
        <v>0</v>
      </c>
      <c r="R53" s="43">
        <f t="shared" si="17"/>
        <v>0.71</v>
      </c>
      <c r="S53" s="43">
        <f t="shared" si="18"/>
        <v>1.42</v>
      </c>
      <c r="T53" s="43">
        <f t="shared" si="19"/>
        <v>2.13</v>
      </c>
      <c r="U53" s="43">
        <f t="shared" si="20"/>
        <v>4.26</v>
      </c>
      <c r="V53" s="43">
        <f t="shared" si="21"/>
        <v>7.1</v>
      </c>
      <c r="W53" s="13"/>
      <c r="X53" s="15">
        <f t="shared" si="0"/>
        <v>0</v>
      </c>
      <c r="Y53" s="15">
        <f t="shared" si="1"/>
        <v>0</v>
      </c>
      <c r="Z53" s="15">
        <f t="shared" si="2"/>
        <v>0</v>
      </c>
      <c r="AA53" s="15">
        <f t="shared" si="3"/>
        <v>0</v>
      </c>
      <c r="AB53" s="15">
        <f t="shared" si="4"/>
        <v>0</v>
      </c>
      <c r="AC53" s="15">
        <f t="shared" si="5"/>
        <v>7.1</v>
      </c>
      <c r="AD53" s="15">
        <f t="shared" si="6"/>
        <v>7.1</v>
      </c>
      <c r="AE53" s="232"/>
    </row>
    <row r="54" spans="1:31" ht="57" customHeight="1">
      <c r="A54" s="244"/>
      <c r="B54" s="243"/>
      <c r="C54" s="219"/>
      <c r="D54" s="216" t="s">
        <v>27</v>
      </c>
      <c r="E54" s="219"/>
      <c r="F54" s="226" t="s">
        <v>141</v>
      </c>
      <c r="G54" s="49">
        <v>13</v>
      </c>
      <c r="H54" s="46" t="s">
        <v>142</v>
      </c>
      <c r="I54" s="222" t="s">
        <v>297</v>
      </c>
      <c r="J54" s="15"/>
      <c r="K54" s="15"/>
      <c r="L54" s="15"/>
      <c r="M54" s="15"/>
      <c r="N54" s="15"/>
      <c r="O54" s="15">
        <v>1</v>
      </c>
      <c r="P54" s="236"/>
      <c r="Q54" s="15">
        <v>0</v>
      </c>
      <c r="R54" s="43">
        <f t="shared" si="17"/>
        <v>0.71</v>
      </c>
      <c r="S54" s="43">
        <f t="shared" si="18"/>
        <v>1.42</v>
      </c>
      <c r="T54" s="43">
        <f t="shared" si="19"/>
        <v>2.13</v>
      </c>
      <c r="U54" s="43">
        <f t="shared" si="20"/>
        <v>4.26</v>
      </c>
      <c r="V54" s="43">
        <f t="shared" si="21"/>
        <v>7.1</v>
      </c>
      <c r="W54" s="13"/>
      <c r="X54" s="15">
        <f t="shared" si="0"/>
        <v>0</v>
      </c>
      <c r="Y54" s="15">
        <f t="shared" si="1"/>
        <v>0</v>
      </c>
      <c r="Z54" s="15">
        <f t="shared" si="2"/>
        <v>0</v>
      </c>
      <c r="AA54" s="15">
        <f t="shared" si="3"/>
        <v>0</v>
      </c>
      <c r="AB54" s="15">
        <f t="shared" si="4"/>
        <v>0</v>
      </c>
      <c r="AC54" s="15">
        <f t="shared" si="5"/>
        <v>7.1</v>
      </c>
      <c r="AD54" s="15">
        <f t="shared" si="6"/>
        <v>7.1</v>
      </c>
      <c r="AE54" s="232"/>
    </row>
    <row r="55" spans="1:31" ht="106.5" customHeight="1">
      <c r="A55" s="244"/>
      <c r="B55" s="243"/>
      <c r="C55" s="221"/>
      <c r="D55" s="218"/>
      <c r="E55" s="221"/>
      <c r="F55" s="228"/>
      <c r="G55" s="49">
        <v>14</v>
      </c>
      <c r="H55" s="46" t="s">
        <v>143</v>
      </c>
      <c r="I55" s="222"/>
      <c r="J55" s="15"/>
      <c r="K55" s="15"/>
      <c r="L55" s="15"/>
      <c r="M55" s="15"/>
      <c r="N55" s="15"/>
      <c r="O55" s="15">
        <v>1</v>
      </c>
      <c r="P55" s="236"/>
      <c r="Q55" s="15">
        <v>0</v>
      </c>
      <c r="R55" s="43">
        <f t="shared" si="17"/>
        <v>0.71</v>
      </c>
      <c r="S55" s="43">
        <f t="shared" si="18"/>
        <v>1.42</v>
      </c>
      <c r="T55" s="43">
        <f t="shared" si="19"/>
        <v>2.13</v>
      </c>
      <c r="U55" s="43">
        <f t="shared" si="20"/>
        <v>4.26</v>
      </c>
      <c r="V55" s="43">
        <f t="shared" si="21"/>
        <v>7.1</v>
      </c>
      <c r="W55" s="13"/>
      <c r="X55" s="15">
        <f t="shared" si="0"/>
        <v>0</v>
      </c>
      <c r="Y55" s="15">
        <f t="shared" si="1"/>
        <v>0</v>
      </c>
      <c r="Z55" s="15">
        <f t="shared" si="2"/>
        <v>0</v>
      </c>
      <c r="AA55" s="15">
        <f t="shared" si="3"/>
        <v>0</v>
      </c>
      <c r="AB55" s="15">
        <f t="shared" si="4"/>
        <v>0</v>
      </c>
      <c r="AC55" s="15">
        <f t="shared" si="5"/>
        <v>7.1</v>
      </c>
      <c r="AD55" s="15">
        <f t="shared" si="6"/>
        <v>7.1</v>
      </c>
      <c r="AE55" s="232"/>
    </row>
    <row r="56" spans="1:31" ht="63" customHeight="1">
      <c r="A56" s="244">
        <v>3</v>
      </c>
      <c r="B56" s="243" t="s">
        <v>144</v>
      </c>
      <c r="C56" s="17"/>
      <c r="D56" s="46" t="s">
        <v>28</v>
      </c>
      <c r="E56" s="49"/>
      <c r="F56" s="35" t="s">
        <v>145</v>
      </c>
      <c r="G56" s="49">
        <v>1</v>
      </c>
      <c r="H56" s="46" t="s">
        <v>145</v>
      </c>
      <c r="I56" s="222" t="s">
        <v>247</v>
      </c>
      <c r="J56" s="15"/>
      <c r="K56" s="15"/>
      <c r="L56" s="15"/>
      <c r="M56" s="15"/>
      <c r="N56" s="15"/>
      <c r="O56" s="15">
        <v>1</v>
      </c>
      <c r="P56" s="236"/>
      <c r="Q56" s="15">
        <v>0</v>
      </c>
      <c r="R56" s="43">
        <f>22.2*0.1</f>
        <v>2.2200000000000002</v>
      </c>
      <c r="S56" s="43">
        <f>22.2*0.2</f>
        <v>4.4400000000000004</v>
      </c>
      <c r="T56" s="43">
        <f>22.2*0.3</f>
        <v>6.6599999999999993</v>
      </c>
      <c r="U56" s="43">
        <f>22.2*0.6</f>
        <v>13.319999999999999</v>
      </c>
      <c r="V56" s="43">
        <f>22.2*1</f>
        <v>22.2</v>
      </c>
      <c r="W56" s="13"/>
      <c r="X56" s="15">
        <f t="shared" si="0"/>
        <v>0</v>
      </c>
      <c r="Y56" s="15">
        <f t="shared" si="1"/>
        <v>0</v>
      </c>
      <c r="Z56" s="15">
        <f t="shared" si="2"/>
        <v>0</v>
      </c>
      <c r="AA56" s="15">
        <f t="shared" si="3"/>
        <v>0</v>
      </c>
      <c r="AB56" s="15">
        <f t="shared" si="4"/>
        <v>0</v>
      </c>
      <c r="AC56" s="15">
        <f t="shared" si="5"/>
        <v>22.2</v>
      </c>
      <c r="AD56" s="15">
        <f t="shared" si="6"/>
        <v>22.2</v>
      </c>
      <c r="AE56" s="232">
        <f>SUM(AD56:AD64)</f>
        <v>199.99999999999997</v>
      </c>
    </row>
    <row r="57" spans="1:31" ht="129.75" customHeight="1">
      <c r="A57" s="244"/>
      <c r="B57" s="243"/>
      <c r="C57" s="17"/>
      <c r="D57" s="46" t="s">
        <v>29</v>
      </c>
      <c r="E57" s="38"/>
      <c r="F57" s="35" t="s">
        <v>146</v>
      </c>
      <c r="G57" s="38">
        <v>2</v>
      </c>
      <c r="H57" s="46" t="s">
        <v>147</v>
      </c>
      <c r="I57" s="222"/>
      <c r="J57" s="15"/>
      <c r="K57" s="15"/>
      <c r="L57" s="15"/>
      <c r="M57" s="15"/>
      <c r="N57" s="15"/>
      <c r="O57" s="15">
        <v>1</v>
      </c>
      <c r="P57" s="236"/>
      <c r="Q57" s="15">
        <v>0</v>
      </c>
      <c r="R57" s="43">
        <f>22.3*0.1</f>
        <v>2.23</v>
      </c>
      <c r="S57" s="43">
        <f>22.3*0.2</f>
        <v>4.46</v>
      </c>
      <c r="T57" s="43">
        <f>22.3*0.3</f>
        <v>6.69</v>
      </c>
      <c r="U57" s="43">
        <f>22.3*0.6</f>
        <v>13.38</v>
      </c>
      <c r="V57" s="43">
        <f>22.3*1</f>
        <v>22.3</v>
      </c>
      <c r="W57" s="13"/>
      <c r="X57" s="15">
        <f t="shared" si="0"/>
        <v>0</v>
      </c>
      <c r="Y57" s="15">
        <f t="shared" si="1"/>
        <v>0</v>
      </c>
      <c r="Z57" s="15">
        <f t="shared" si="2"/>
        <v>0</v>
      </c>
      <c r="AA57" s="15">
        <f t="shared" si="3"/>
        <v>0</v>
      </c>
      <c r="AB57" s="15">
        <f t="shared" si="4"/>
        <v>0</v>
      </c>
      <c r="AC57" s="15">
        <f t="shared" si="5"/>
        <v>22.3</v>
      </c>
      <c r="AD57" s="15">
        <f t="shared" si="6"/>
        <v>22.3</v>
      </c>
      <c r="AE57" s="232"/>
    </row>
    <row r="58" spans="1:31" ht="57.75" customHeight="1">
      <c r="A58" s="244"/>
      <c r="B58" s="243"/>
      <c r="C58" s="17"/>
      <c r="D58" s="46" t="s">
        <v>148</v>
      </c>
      <c r="E58" s="49"/>
      <c r="F58" s="46" t="s">
        <v>149</v>
      </c>
      <c r="G58" s="49">
        <v>3</v>
      </c>
      <c r="H58" s="46" t="s">
        <v>150</v>
      </c>
      <c r="I58" s="222"/>
      <c r="J58" s="15"/>
      <c r="K58" s="15"/>
      <c r="L58" s="15"/>
      <c r="M58" s="15"/>
      <c r="N58" s="15"/>
      <c r="O58" s="15">
        <v>1</v>
      </c>
      <c r="P58" s="236"/>
      <c r="Q58" s="15">
        <v>0</v>
      </c>
      <c r="R58" s="43">
        <v>4.5999999999999996</v>
      </c>
      <c r="S58" s="43">
        <v>9</v>
      </c>
      <c r="T58" s="43">
        <v>13.4</v>
      </c>
      <c r="U58" s="43">
        <v>17.8</v>
      </c>
      <c r="V58" s="43">
        <v>22.3</v>
      </c>
      <c r="W58" s="13"/>
      <c r="X58" s="15">
        <f t="shared" si="0"/>
        <v>0</v>
      </c>
      <c r="Y58" s="15">
        <f t="shared" si="1"/>
        <v>0</v>
      </c>
      <c r="Z58" s="15">
        <f t="shared" si="2"/>
        <v>0</v>
      </c>
      <c r="AA58" s="15">
        <f t="shared" si="3"/>
        <v>0</v>
      </c>
      <c r="AB58" s="15">
        <f t="shared" si="4"/>
        <v>0</v>
      </c>
      <c r="AC58" s="15">
        <f t="shared" si="5"/>
        <v>22.3</v>
      </c>
      <c r="AD58" s="15">
        <f t="shared" si="6"/>
        <v>22.3</v>
      </c>
      <c r="AE58" s="232"/>
    </row>
    <row r="59" spans="1:31" ht="116.25" customHeight="1">
      <c r="A59" s="244"/>
      <c r="B59" s="243"/>
      <c r="C59" s="17"/>
      <c r="D59" s="46" t="s">
        <v>30</v>
      </c>
      <c r="E59" s="49"/>
      <c r="F59" s="46" t="s">
        <v>151</v>
      </c>
      <c r="G59" s="49">
        <v>4</v>
      </c>
      <c r="H59" s="46" t="s">
        <v>152</v>
      </c>
      <c r="I59" s="46" t="s">
        <v>298</v>
      </c>
      <c r="J59" s="15"/>
      <c r="K59" s="15"/>
      <c r="L59" s="15"/>
      <c r="M59" s="15"/>
      <c r="N59" s="15"/>
      <c r="O59" s="15">
        <v>1</v>
      </c>
      <c r="P59" s="236"/>
      <c r="Q59" s="15">
        <v>0</v>
      </c>
      <c r="R59" s="43">
        <f>22.2*0.1</f>
        <v>2.2200000000000002</v>
      </c>
      <c r="S59" s="43">
        <f>22.2*0.2</f>
        <v>4.4400000000000004</v>
      </c>
      <c r="T59" s="43">
        <f>22.2*0.3</f>
        <v>6.6599999999999993</v>
      </c>
      <c r="U59" s="43">
        <f>22.2*0.6</f>
        <v>13.319999999999999</v>
      </c>
      <c r="V59" s="43">
        <f>22.2*1</f>
        <v>22.2</v>
      </c>
      <c r="W59" s="13"/>
      <c r="X59" s="15">
        <f t="shared" si="0"/>
        <v>0</v>
      </c>
      <c r="Y59" s="15">
        <f t="shared" si="1"/>
        <v>0</v>
      </c>
      <c r="Z59" s="15">
        <f t="shared" si="2"/>
        <v>0</v>
      </c>
      <c r="AA59" s="15">
        <f t="shared" si="3"/>
        <v>0</v>
      </c>
      <c r="AB59" s="15">
        <f t="shared" si="4"/>
        <v>0</v>
      </c>
      <c r="AC59" s="15">
        <f t="shared" si="5"/>
        <v>22.2</v>
      </c>
      <c r="AD59" s="15">
        <f t="shared" si="6"/>
        <v>22.2</v>
      </c>
      <c r="AE59" s="232"/>
    </row>
    <row r="60" spans="1:31" ht="96.75" customHeight="1">
      <c r="A60" s="244"/>
      <c r="B60" s="243"/>
      <c r="C60" s="223"/>
      <c r="D60" s="216" t="s">
        <v>31</v>
      </c>
      <c r="E60" s="223"/>
      <c r="F60" s="216" t="s">
        <v>153</v>
      </c>
      <c r="G60" s="49">
        <v>5</v>
      </c>
      <c r="H60" s="35" t="s">
        <v>154</v>
      </c>
      <c r="I60" s="46" t="s">
        <v>248</v>
      </c>
      <c r="J60" s="15"/>
      <c r="K60" s="15"/>
      <c r="L60" s="15"/>
      <c r="M60" s="15"/>
      <c r="N60" s="15"/>
      <c r="O60" s="15">
        <v>1</v>
      </c>
      <c r="P60" s="236"/>
      <c r="Q60" s="15">
        <v>0</v>
      </c>
      <c r="R60" s="43">
        <f t="shared" ref="R60:R64" si="22">22.2*0.1</f>
        <v>2.2200000000000002</v>
      </c>
      <c r="S60" s="43">
        <f t="shared" ref="S60:S64" si="23">22.2*0.2</f>
        <v>4.4400000000000004</v>
      </c>
      <c r="T60" s="43">
        <f t="shared" ref="T60:T64" si="24">22.2*0.3</f>
        <v>6.6599999999999993</v>
      </c>
      <c r="U60" s="43">
        <f t="shared" ref="U60:U64" si="25">22.2*0.6</f>
        <v>13.319999999999999</v>
      </c>
      <c r="V60" s="43">
        <f t="shared" ref="V60:V64" si="26">22.2*1</f>
        <v>22.2</v>
      </c>
      <c r="W60" s="13"/>
      <c r="X60" s="15">
        <f t="shared" si="0"/>
        <v>0</v>
      </c>
      <c r="Y60" s="15">
        <f t="shared" si="1"/>
        <v>0</v>
      </c>
      <c r="Z60" s="15">
        <f t="shared" si="2"/>
        <v>0</v>
      </c>
      <c r="AA60" s="15">
        <f t="shared" si="3"/>
        <v>0</v>
      </c>
      <c r="AB60" s="15">
        <f t="shared" si="4"/>
        <v>0</v>
      </c>
      <c r="AC60" s="15">
        <f t="shared" si="5"/>
        <v>22.2</v>
      </c>
      <c r="AD60" s="15">
        <f t="shared" si="6"/>
        <v>22.2</v>
      </c>
      <c r="AE60" s="232"/>
    </row>
    <row r="61" spans="1:31" ht="95.25" customHeight="1">
      <c r="A61" s="244"/>
      <c r="B61" s="243"/>
      <c r="C61" s="223"/>
      <c r="D61" s="217"/>
      <c r="E61" s="223"/>
      <c r="F61" s="217"/>
      <c r="G61" s="49">
        <v>6</v>
      </c>
      <c r="H61" s="46" t="s">
        <v>155</v>
      </c>
      <c r="I61" s="222" t="s">
        <v>293</v>
      </c>
      <c r="J61" s="15"/>
      <c r="K61" s="15"/>
      <c r="L61" s="15"/>
      <c r="M61" s="15"/>
      <c r="N61" s="15"/>
      <c r="O61" s="15">
        <v>1</v>
      </c>
      <c r="P61" s="236"/>
      <c r="Q61" s="15">
        <v>0</v>
      </c>
      <c r="R61" s="43">
        <f t="shared" si="22"/>
        <v>2.2200000000000002</v>
      </c>
      <c r="S61" s="43">
        <f t="shared" si="23"/>
        <v>4.4400000000000004</v>
      </c>
      <c r="T61" s="43">
        <f t="shared" si="24"/>
        <v>6.6599999999999993</v>
      </c>
      <c r="U61" s="43">
        <f t="shared" si="25"/>
        <v>13.319999999999999</v>
      </c>
      <c r="V61" s="43">
        <f t="shared" si="26"/>
        <v>22.2</v>
      </c>
      <c r="W61" s="13"/>
      <c r="X61" s="15">
        <f t="shared" si="0"/>
        <v>0</v>
      </c>
      <c r="Y61" s="15">
        <f t="shared" si="1"/>
        <v>0</v>
      </c>
      <c r="Z61" s="15">
        <f t="shared" si="2"/>
        <v>0</v>
      </c>
      <c r="AA61" s="15">
        <f t="shared" si="3"/>
        <v>0</v>
      </c>
      <c r="AB61" s="15">
        <f t="shared" si="4"/>
        <v>0</v>
      </c>
      <c r="AC61" s="15">
        <f t="shared" si="5"/>
        <v>22.2</v>
      </c>
      <c r="AD61" s="15">
        <f t="shared" si="6"/>
        <v>22.2</v>
      </c>
      <c r="AE61" s="232"/>
    </row>
    <row r="62" spans="1:31" ht="215.25" customHeight="1">
      <c r="A62" s="244"/>
      <c r="B62" s="243"/>
      <c r="C62" s="223"/>
      <c r="D62" s="217"/>
      <c r="E62" s="223"/>
      <c r="F62" s="217"/>
      <c r="G62" s="49">
        <v>7</v>
      </c>
      <c r="H62" s="46" t="s">
        <v>156</v>
      </c>
      <c r="I62" s="222"/>
      <c r="J62" s="15"/>
      <c r="K62" s="15"/>
      <c r="L62" s="15"/>
      <c r="M62" s="15"/>
      <c r="N62" s="15"/>
      <c r="O62" s="15">
        <v>1</v>
      </c>
      <c r="P62" s="236"/>
      <c r="Q62" s="15">
        <v>0</v>
      </c>
      <c r="R62" s="43">
        <f t="shared" si="22"/>
        <v>2.2200000000000002</v>
      </c>
      <c r="S62" s="43">
        <f t="shared" si="23"/>
        <v>4.4400000000000004</v>
      </c>
      <c r="T62" s="43">
        <f t="shared" si="24"/>
        <v>6.6599999999999993</v>
      </c>
      <c r="U62" s="43">
        <f t="shared" si="25"/>
        <v>13.319999999999999</v>
      </c>
      <c r="V62" s="43">
        <f t="shared" si="26"/>
        <v>22.2</v>
      </c>
      <c r="W62" s="13"/>
      <c r="X62" s="15">
        <f t="shared" si="0"/>
        <v>0</v>
      </c>
      <c r="Y62" s="15">
        <f t="shared" si="1"/>
        <v>0</v>
      </c>
      <c r="Z62" s="15">
        <f t="shared" si="2"/>
        <v>0</v>
      </c>
      <c r="AA62" s="15">
        <f t="shared" si="3"/>
        <v>0</v>
      </c>
      <c r="AB62" s="15">
        <f t="shared" si="4"/>
        <v>0</v>
      </c>
      <c r="AC62" s="15">
        <f t="shared" si="5"/>
        <v>22.2</v>
      </c>
      <c r="AD62" s="15">
        <f t="shared" si="6"/>
        <v>22.2</v>
      </c>
      <c r="AE62" s="232"/>
    </row>
    <row r="63" spans="1:31" ht="50.25" customHeight="1">
      <c r="A63" s="244"/>
      <c r="B63" s="243"/>
      <c r="C63" s="223"/>
      <c r="D63" s="217"/>
      <c r="E63" s="223"/>
      <c r="F63" s="217"/>
      <c r="G63" s="49">
        <v>8</v>
      </c>
      <c r="H63" s="46" t="s">
        <v>157</v>
      </c>
      <c r="I63" s="222"/>
      <c r="J63" s="15"/>
      <c r="K63" s="15"/>
      <c r="L63" s="15"/>
      <c r="M63" s="15"/>
      <c r="N63" s="15"/>
      <c r="O63" s="15">
        <v>1</v>
      </c>
      <c r="P63" s="236"/>
      <c r="Q63" s="15">
        <v>0</v>
      </c>
      <c r="R63" s="43">
        <f t="shared" si="22"/>
        <v>2.2200000000000002</v>
      </c>
      <c r="S63" s="43">
        <f t="shared" si="23"/>
        <v>4.4400000000000004</v>
      </c>
      <c r="T63" s="43">
        <f t="shared" si="24"/>
        <v>6.6599999999999993</v>
      </c>
      <c r="U63" s="43">
        <f t="shared" si="25"/>
        <v>13.319999999999999</v>
      </c>
      <c r="V63" s="43">
        <f t="shared" si="26"/>
        <v>22.2</v>
      </c>
      <c r="W63" s="13"/>
      <c r="X63" s="15">
        <f t="shared" si="0"/>
        <v>0</v>
      </c>
      <c r="Y63" s="15">
        <f t="shared" si="1"/>
        <v>0</v>
      </c>
      <c r="Z63" s="15">
        <f t="shared" si="2"/>
        <v>0</v>
      </c>
      <c r="AA63" s="15">
        <f t="shared" si="3"/>
        <v>0</v>
      </c>
      <c r="AB63" s="15">
        <f t="shared" si="4"/>
        <v>0</v>
      </c>
      <c r="AC63" s="15">
        <f t="shared" si="5"/>
        <v>22.2</v>
      </c>
      <c r="AD63" s="15">
        <f t="shared" si="6"/>
        <v>22.2</v>
      </c>
      <c r="AE63" s="232"/>
    </row>
    <row r="64" spans="1:31" ht="89.25" customHeight="1">
      <c r="A64" s="244"/>
      <c r="B64" s="243"/>
      <c r="C64" s="223"/>
      <c r="D64" s="218"/>
      <c r="E64" s="223"/>
      <c r="F64" s="218"/>
      <c r="G64" s="49">
        <v>9</v>
      </c>
      <c r="H64" s="46" t="s">
        <v>158</v>
      </c>
      <c r="I64" s="222"/>
      <c r="J64" s="15"/>
      <c r="K64" s="15"/>
      <c r="L64" s="15"/>
      <c r="M64" s="15"/>
      <c r="N64" s="15"/>
      <c r="O64" s="15">
        <v>1</v>
      </c>
      <c r="P64" s="236"/>
      <c r="Q64" s="15">
        <v>0</v>
      </c>
      <c r="R64" s="43">
        <f t="shared" si="22"/>
        <v>2.2200000000000002</v>
      </c>
      <c r="S64" s="43">
        <f t="shared" si="23"/>
        <v>4.4400000000000004</v>
      </c>
      <c r="T64" s="43">
        <f t="shared" si="24"/>
        <v>6.6599999999999993</v>
      </c>
      <c r="U64" s="43">
        <f t="shared" si="25"/>
        <v>13.319999999999999</v>
      </c>
      <c r="V64" s="43">
        <f t="shared" si="26"/>
        <v>22.2</v>
      </c>
      <c r="W64" s="13"/>
      <c r="X64" s="15">
        <f t="shared" si="0"/>
        <v>0</v>
      </c>
      <c r="Y64" s="15">
        <f t="shared" si="1"/>
        <v>0</v>
      </c>
      <c r="Z64" s="15">
        <f t="shared" si="2"/>
        <v>0</v>
      </c>
      <c r="AA64" s="15">
        <f t="shared" si="3"/>
        <v>0</v>
      </c>
      <c r="AB64" s="15">
        <f t="shared" si="4"/>
        <v>0</v>
      </c>
      <c r="AC64" s="15">
        <f t="shared" si="5"/>
        <v>22.2</v>
      </c>
      <c r="AD64" s="15">
        <f t="shared" si="6"/>
        <v>22.2</v>
      </c>
      <c r="AE64" s="232"/>
    </row>
    <row r="65" spans="1:31" ht="140.25" customHeight="1">
      <c r="A65" s="57">
        <v>4</v>
      </c>
      <c r="B65" s="41" t="s">
        <v>159</v>
      </c>
      <c r="C65" s="17"/>
      <c r="D65" s="46" t="s">
        <v>32</v>
      </c>
      <c r="E65" s="49"/>
      <c r="F65" s="35" t="s">
        <v>160</v>
      </c>
      <c r="G65" s="49">
        <v>1</v>
      </c>
      <c r="H65" s="46" t="s">
        <v>161</v>
      </c>
      <c r="I65" s="46" t="s">
        <v>293</v>
      </c>
      <c r="J65" s="15"/>
      <c r="K65" s="15"/>
      <c r="L65" s="15"/>
      <c r="M65" s="15"/>
      <c r="N65" s="15"/>
      <c r="O65" s="15">
        <v>1</v>
      </c>
      <c r="P65" s="236"/>
      <c r="Q65" s="15">
        <v>0</v>
      </c>
      <c r="R65" s="43">
        <f>40*0.1</f>
        <v>4</v>
      </c>
      <c r="S65" s="43">
        <f>40*0.2</f>
        <v>8</v>
      </c>
      <c r="T65" s="43">
        <f>40*0.3</f>
        <v>12</v>
      </c>
      <c r="U65" s="43">
        <f>40*0.6</f>
        <v>24</v>
      </c>
      <c r="V65" s="43">
        <f>40*1</f>
        <v>40</v>
      </c>
      <c r="W65" s="13"/>
      <c r="X65" s="15">
        <f t="shared" si="0"/>
        <v>0</v>
      </c>
      <c r="Y65" s="15">
        <f t="shared" si="1"/>
        <v>0</v>
      </c>
      <c r="Z65" s="15">
        <f t="shared" si="2"/>
        <v>0</v>
      </c>
      <c r="AA65" s="15">
        <f t="shared" si="3"/>
        <v>0</v>
      </c>
      <c r="AB65" s="15">
        <f t="shared" si="4"/>
        <v>0</v>
      </c>
      <c r="AC65" s="15">
        <f t="shared" si="5"/>
        <v>40</v>
      </c>
      <c r="AD65" s="15">
        <f>X65+Y65+Z65+AA65+AB65+AC65</f>
        <v>40</v>
      </c>
      <c r="AE65" s="39">
        <f>SUM(AD65)</f>
        <v>40</v>
      </c>
    </row>
    <row r="66" spans="1:31" ht="54.75" customHeight="1">
      <c r="A66" s="244">
        <v>5</v>
      </c>
      <c r="B66" s="243" t="s">
        <v>162</v>
      </c>
      <c r="C66" s="219"/>
      <c r="D66" s="216" t="s">
        <v>33</v>
      </c>
      <c r="E66" s="219"/>
      <c r="F66" s="226" t="s">
        <v>163</v>
      </c>
      <c r="G66" s="49">
        <v>1</v>
      </c>
      <c r="H66" s="46" t="s">
        <v>164</v>
      </c>
      <c r="I66" s="222" t="s">
        <v>299</v>
      </c>
      <c r="J66" s="15"/>
      <c r="K66" s="15"/>
      <c r="L66" s="15"/>
      <c r="M66" s="15"/>
      <c r="N66" s="15"/>
      <c r="O66" s="15">
        <v>1</v>
      </c>
      <c r="P66" s="236"/>
      <c r="Q66" s="15">
        <v>0</v>
      </c>
      <c r="R66" s="45">
        <f>25*0.1</f>
        <v>2.5</v>
      </c>
      <c r="S66" s="45">
        <f>25*0.2</f>
        <v>5</v>
      </c>
      <c r="T66" s="45">
        <f>25*0.3</f>
        <v>7.5</v>
      </c>
      <c r="U66" s="45">
        <f>25*0.6</f>
        <v>15</v>
      </c>
      <c r="V66" s="45">
        <f>25*1</f>
        <v>25</v>
      </c>
      <c r="W66" s="13"/>
      <c r="X66" s="15">
        <f t="shared" si="0"/>
        <v>0</v>
      </c>
      <c r="Y66" s="15">
        <f t="shared" si="1"/>
        <v>0</v>
      </c>
      <c r="Z66" s="15">
        <f t="shared" si="2"/>
        <v>0</v>
      </c>
      <c r="AA66" s="15">
        <f t="shared" si="3"/>
        <v>0</v>
      </c>
      <c r="AB66" s="15">
        <f t="shared" si="4"/>
        <v>0</v>
      </c>
      <c r="AC66" s="15">
        <f t="shared" si="5"/>
        <v>25</v>
      </c>
      <c r="AD66" s="15">
        <f t="shared" si="6"/>
        <v>25</v>
      </c>
      <c r="AE66" s="232">
        <f>SUM(AD66:AD73)</f>
        <v>200</v>
      </c>
    </row>
    <row r="67" spans="1:31" ht="57.75" customHeight="1">
      <c r="A67" s="244"/>
      <c r="B67" s="243"/>
      <c r="C67" s="220"/>
      <c r="D67" s="217"/>
      <c r="E67" s="220"/>
      <c r="F67" s="227"/>
      <c r="G67" s="49">
        <v>2</v>
      </c>
      <c r="H67" s="46" t="s">
        <v>165</v>
      </c>
      <c r="I67" s="222"/>
      <c r="J67" s="15"/>
      <c r="K67" s="15"/>
      <c r="L67" s="15"/>
      <c r="M67" s="15"/>
      <c r="N67" s="15"/>
      <c r="O67" s="15">
        <v>1</v>
      </c>
      <c r="P67" s="236"/>
      <c r="Q67" s="15">
        <v>0</v>
      </c>
      <c r="R67" s="45">
        <f t="shared" ref="R67:R73" si="27">25*0.1</f>
        <v>2.5</v>
      </c>
      <c r="S67" s="45">
        <f t="shared" ref="S67:S73" si="28">25*0.2</f>
        <v>5</v>
      </c>
      <c r="T67" s="45">
        <f t="shared" ref="T67:T73" si="29">25*0.3</f>
        <v>7.5</v>
      </c>
      <c r="U67" s="45">
        <f t="shared" ref="U67:U73" si="30">25*0.6</f>
        <v>15</v>
      </c>
      <c r="V67" s="45">
        <f t="shared" ref="V67:V73" si="31">25*1</f>
        <v>25</v>
      </c>
      <c r="W67" s="13"/>
      <c r="X67" s="15">
        <f t="shared" si="0"/>
        <v>0</v>
      </c>
      <c r="Y67" s="15">
        <f t="shared" si="1"/>
        <v>0</v>
      </c>
      <c r="Z67" s="15">
        <f t="shared" si="2"/>
        <v>0</v>
      </c>
      <c r="AA67" s="15">
        <f t="shared" si="3"/>
        <v>0</v>
      </c>
      <c r="AB67" s="15">
        <f t="shared" si="4"/>
        <v>0</v>
      </c>
      <c r="AC67" s="15">
        <f t="shared" si="5"/>
        <v>25</v>
      </c>
      <c r="AD67" s="15">
        <f t="shared" si="6"/>
        <v>25</v>
      </c>
      <c r="AE67" s="232"/>
    </row>
    <row r="68" spans="1:31" ht="42.75" customHeight="1">
      <c r="A68" s="244"/>
      <c r="B68" s="243"/>
      <c r="C68" s="220"/>
      <c r="D68" s="217"/>
      <c r="E68" s="220"/>
      <c r="F68" s="227"/>
      <c r="G68" s="49">
        <v>3</v>
      </c>
      <c r="H68" s="46" t="s">
        <v>166</v>
      </c>
      <c r="I68" s="222"/>
      <c r="J68" s="15"/>
      <c r="K68" s="15"/>
      <c r="L68" s="15"/>
      <c r="M68" s="15"/>
      <c r="N68" s="15"/>
      <c r="O68" s="15">
        <v>1</v>
      </c>
      <c r="P68" s="236"/>
      <c r="Q68" s="15">
        <v>0</v>
      </c>
      <c r="R68" s="45">
        <f t="shared" si="27"/>
        <v>2.5</v>
      </c>
      <c r="S68" s="45">
        <f t="shared" si="28"/>
        <v>5</v>
      </c>
      <c r="T68" s="45">
        <f t="shared" si="29"/>
        <v>7.5</v>
      </c>
      <c r="U68" s="45">
        <f t="shared" si="30"/>
        <v>15</v>
      </c>
      <c r="V68" s="45">
        <f t="shared" si="31"/>
        <v>25</v>
      </c>
      <c r="W68" s="13"/>
      <c r="X68" s="15">
        <f t="shared" si="0"/>
        <v>0</v>
      </c>
      <c r="Y68" s="15">
        <f t="shared" si="1"/>
        <v>0</v>
      </c>
      <c r="Z68" s="15">
        <f t="shared" si="2"/>
        <v>0</v>
      </c>
      <c r="AA68" s="15">
        <f t="shared" si="3"/>
        <v>0</v>
      </c>
      <c r="AB68" s="15">
        <f t="shared" si="4"/>
        <v>0</v>
      </c>
      <c r="AC68" s="15">
        <f t="shared" si="5"/>
        <v>25</v>
      </c>
      <c r="AD68" s="15">
        <f t="shared" si="6"/>
        <v>25</v>
      </c>
      <c r="AE68" s="232"/>
    </row>
    <row r="69" spans="1:31" ht="57" customHeight="1">
      <c r="A69" s="244"/>
      <c r="B69" s="243"/>
      <c r="C69" s="221"/>
      <c r="D69" s="218"/>
      <c r="E69" s="221"/>
      <c r="F69" s="228"/>
      <c r="G69" s="49">
        <v>4</v>
      </c>
      <c r="H69" s="46" t="s">
        <v>167</v>
      </c>
      <c r="I69" s="222"/>
      <c r="J69" s="15"/>
      <c r="K69" s="15"/>
      <c r="L69" s="15"/>
      <c r="M69" s="15"/>
      <c r="N69" s="15"/>
      <c r="O69" s="15">
        <v>1</v>
      </c>
      <c r="P69" s="236"/>
      <c r="Q69" s="15">
        <v>0</v>
      </c>
      <c r="R69" s="45">
        <f t="shared" si="27"/>
        <v>2.5</v>
      </c>
      <c r="S69" s="45">
        <f t="shared" si="28"/>
        <v>5</v>
      </c>
      <c r="T69" s="45">
        <f t="shared" si="29"/>
        <v>7.5</v>
      </c>
      <c r="U69" s="45">
        <f t="shared" si="30"/>
        <v>15</v>
      </c>
      <c r="V69" s="45">
        <f t="shared" si="31"/>
        <v>25</v>
      </c>
      <c r="W69" s="13"/>
      <c r="X69" s="15">
        <f t="shared" ref="X69:AA131" si="32">J69*Q69</f>
        <v>0</v>
      </c>
      <c r="Y69" s="15">
        <f t="shared" si="32"/>
        <v>0</v>
      </c>
      <c r="Z69" s="15">
        <f t="shared" si="32"/>
        <v>0</v>
      </c>
      <c r="AA69" s="15">
        <f t="shared" si="32"/>
        <v>0</v>
      </c>
      <c r="AB69" s="15">
        <f t="shared" ref="AB69:AC131" si="33">N69*U69</f>
        <v>0</v>
      </c>
      <c r="AC69" s="15">
        <f t="shared" si="33"/>
        <v>25</v>
      </c>
      <c r="AD69" s="15">
        <f t="shared" ref="AD69:AD131" si="34">X69+Y69+Z69+AA69+AB69+AC69</f>
        <v>25</v>
      </c>
      <c r="AE69" s="232"/>
    </row>
    <row r="70" spans="1:31" ht="102.75" customHeight="1">
      <c r="A70" s="244"/>
      <c r="B70" s="243"/>
      <c r="C70" s="219"/>
      <c r="D70" s="216" t="s">
        <v>34</v>
      </c>
      <c r="E70" s="219"/>
      <c r="F70" s="226" t="s">
        <v>168</v>
      </c>
      <c r="G70" s="49">
        <v>5</v>
      </c>
      <c r="H70" s="46" t="s">
        <v>169</v>
      </c>
      <c r="I70" s="222" t="s">
        <v>293</v>
      </c>
      <c r="J70" s="15"/>
      <c r="K70" s="15"/>
      <c r="L70" s="15"/>
      <c r="M70" s="15"/>
      <c r="N70" s="15"/>
      <c r="O70" s="15">
        <v>1</v>
      </c>
      <c r="P70" s="236"/>
      <c r="Q70" s="15">
        <v>0</v>
      </c>
      <c r="R70" s="45">
        <f t="shared" si="27"/>
        <v>2.5</v>
      </c>
      <c r="S70" s="45">
        <f t="shared" si="28"/>
        <v>5</v>
      </c>
      <c r="T70" s="45">
        <f t="shared" si="29"/>
        <v>7.5</v>
      </c>
      <c r="U70" s="45">
        <f t="shared" si="30"/>
        <v>15</v>
      </c>
      <c r="V70" s="45">
        <f t="shared" si="31"/>
        <v>25</v>
      </c>
      <c r="W70" s="13"/>
      <c r="X70" s="15">
        <f t="shared" si="32"/>
        <v>0</v>
      </c>
      <c r="Y70" s="15">
        <f t="shared" si="32"/>
        <v>0</v>
      </c>
      <c r="Z70" s="15">
        <f t="shared" si="32"/>
        <v>0</v>
      </c>
      <c r="AA70" s="15">
        <f t="shared" si="32"/>
        <v>0</v>
      </c>
      <c r="AB70" s="15">
        <f t="shared" si="33"/>
        <v>0</v>
      </c>
      <c r="AC70" s="15">
        <f t="shared" si="33"/>
        <v>25</v>
      </c>
      <c r="AD70" s="15">
        <f t="shared" si="34"/>
        <v>25</v>
      </c>
      <c r="AE70" s="232"/>
    </row>
    <row r="71" spans="1:31" ht="110.25" customHeight="1">
      <c r="A71" s="244"/>
      <c r="B71" s="243"/>
      <c r="C71" s="221"/>
      <c r="D71" s="218"/>
      <c r="E71" s="221"/>
      <c r="F71" s="228"/>
      <c r="G71" s="49">
        <v>6</v>
      </c>
      <c r="H71" s="46" t="s">
        <v>258</v>
      </c>
      <c r="I71" s="222"/>
      <c r="J71" s="15"/>
      <c r="K71" s="15"/>
      <c r="L71" s="15"/>
      <c r="M71" s="15"/>
      <c r="N71" s="15"/>
      <c r="O71" s="15">
        <v>1</v>
      </c>
      <c r="P71" s="236"/>
      <c r="Q71" s="15">
        <v>0</v>
      </c>
      <c r="R71" s="45">
        <f t="shared" si="27"/>
        <v>2.5</v>
      </c>
      <c r="S71" s="45">
        <f t="shared" si="28"/>
        <v>5</v>
      </c>
      <c r="T71" s="45">
        <f t="shared" si="29"/>
        <v>7.5</v>
      </c>
      <c r="U71" s="45">
        <f t="shared" si="30"/>
        <v>15</v>
      </c>
      <c r="V71" s="45">
        <f t="shared" si="31"/>
        <v>25</v>
      </c>
      <c r="W71" s="13"/>
      <c r="X71" s="15">
        <f t="shared" si="32"/>
        <v>0</v>
      </c>
      <c r="Y71" s="15">
        <f t="shared" si="32"/>
        <v>0</v>
      </c>
      <c r="Z71" s="15">
        <f t="shared" si="32"/>
        <v>0</v>
      </c>
      <c r="AA71" s="15">
        <f t="shared" si="32"/>
        <v>0</v>
      </c>
      <c r="AB71" s="15">
        <f t="shared" si="33"/>
        <v>0</v>
      </c>
      <c r="AC71" s="15">
        <f t="shared" si="33"/>
        <v>25</v>
      </c>
      <c r="AD71" s="15">
        <f t="shared" si="34"/>
        <v>25</v>
      </c>
      <c r="AE71" s="232"/>
    </row>
    <row r="72" spans="1:31" ht="74.25" customHeight="1">
      <c r="A72" s="244"/>
      <c r="B72" s="243"/>
      <c r="C72" s="219"/>
      <c r="D72" s="216" t="s">
        <v>35</v>
      </c>
      <c r="E72" s="219"/>
      <c r="F72" s="216" t="s">
        <v>170</v>
      </c>
      <c r="G72" s="49">
        <v>7</v>
      </c>
      <c r="H72" s="46" t="s">
        <v>171</v>
      </c>
      <c r="I72" s="222" t="s">
        <v>293</v>
      </c>
      <c r="J72" s="15"/>
      <c r="K72" s="15"/>
      <c r="L72" s="15"/>
      <c r="M72" s="15"/>
      <c r="N72" s="15"/>
      <c r="O72" s="15">
        <v>1</v>
      </c>
      <c r="P72" s="236"/>
      <c r="Q72" s="15">
        <v>0</v>
      </c>
      <c r="R72" s="45">
        <f t="shared" si="27"/>
        <v>2.5</v>
      </c>
      <c r="S72" s="45">
        <f t="shared" si="28"/>
        <v>5</v>
      </c>
      <c r="T72" s="45">
        <f t="shared" si="29"/>
        <v>7.5</v>
      </c>
      <c r="U72" s="45">
        <f t="shared" si="30"/>
        <v>15</v>
      </c>
      <c r="V72" s="45">
        <f t="shared" si="31"/>
        <v>25</v>
      </c>
      <c r="W72" s="13"/>
      <c r="X72" s="15">
        <f t="shared" si="32"/>
        <v>0</v>
      </c>
      <c r="Y72" s="15">
        <f t="shared" si="32"/>
        <v>0</v>
      </c>
      <c r="Z72" s="15">
        <f t="shared" si="32"/>
        <v>0</v>
      </c>
      <c r="AA72" s="15">
        <f t="shared" si="32"/>
        <v>0</v>
      </c>
      <c r="AB72" s="15">
        <f t="shared" si="33"/>
        <v>0</v>
      </c>
      <c r="AC72" s="15">
        <f t="shared" si="33"/>
        <v>25</v>
      </c>
      <c r="AD72" s="15">
        <f t="shared" si="34"/>
        <v>25</v>
      </c>
      <c r="AE72" s="232"/>
    </row>
    <row r="73" spans="1:31" ht="84.75" customHeight="1">
      <c r="A73" s="244"/>
      <c r="B73" s="243"/>
      <c r="C73" s="221"/>
      <c r="D73" s="218"/>
      <c r="E73" s="221"/>
      <c r="F73" s="218"/>
      <c r="G73" s="49">
        <v>8</v>
      </c>
      <c r="H73" s="46" t="s">
        <v>172</v>
      </c>
      <c r="I73" s="222"/>
      <c r="J73" s="15"/>
      <c r="K73" s="15"/>
      <c r="L73" s="15"/>
      <c r="M73" s="15"/>
      <c r="N73" s="15"/>
      <c r="O73" s="15">
        <v>1</v>
      </c>
      <c r="P73" s="48"/>
      <c r="Q73" s="15">
        <v>0</v>
      </c>
      <c r="R73" s="45">
        <f t="shared" si="27"/>
        <v>2.5</v>
      </c>
      <c r="S73" s="45">
        <f t="shared" si="28"/>
        <v>5</v>
      </c>
      <c r="T73" s="45">
        <f t="shared" si="29"/>
        <v>7.5</v>
      </c>
      <c r="U73" s="45">
        <f t="shared" si="30"/>
        <v>15</v>
      </c>
      <c r="V73" s="45">
        <f t="shared" si="31"/>
        <v>25</v>
      </c>
      <c r="W73" s="13"/>
      <c r="X73" s="15">
        <f t="shared" si="32"/>
        <v>0</v>
      </c>
      <c r="Y73" s="15">
        <f t="shared" si="32"/>
        <v>0</v>
      </c>
      <c r="Z73" s="15">
        <f t="shared" si="32"/>
        <v>0</v>
      </c>
      <c r="AA73" s="15">
        <f t="shared" si="32"/>
        <v>0</v>
      </c>
      <c r="AB73" s="15">
        <f t="shared" si="33"/>
        <v>0</v>
      </c>
      <c r="AC73" s="15">
        <f t="shared" si="33"/>
        <v>25</v>
      </c>
      <c r="AD73" s="15">
        <f t="shared" si="34"/>
        <v>25</v>
      </c>
      <c r="AE73" s="232"/>
    </row>
    <row r="74" spans="1:31" ht="68.25" customHeight="1">
      <c r="A74" s="248">
        <v>6</v>
      </c>
      <c r="B74" s="245" t="s">
        <v>173</v>
      </c>
      <c r="C74" s="219"/>
      <c r="D74" s="216" t="s">
        <v>36</v>
      </c>
      <c r="E74" s="219"/>
      <c r="F74" s="216" t="s">
        <v>174</v>
      </c>
      <c r="G74" s="49">
        <v>1</v>
      </c>
      <c r="H74" s="46" t="s">
        <v>175</v>
      </c>
      <c r="I74" s="222" t="s">
        <v>295</v>
      </c>
      <c r="J74" s="15"/>
      <c r="K74" s="15"/>
      <c r="L74" s="15"/>
      <c r="M74" s="15"/>
      <c r="N74" s="15"/>
      <c r="O74" s="15">
        <v>1</v>
      </c>
      <c r="P74" s="236"/>
      <c r="Q74" s="15">
        <v>0</v>
      </c>
      <c r="R74" s="43">
        <f>16.7*0.1</f>
        <v>1.67</v>
      </c>
      <c r="S74" s="43">
        <f>16.7*0.2</f>
        <v>3.34</v>
      </c>
      <c r="T74" s="43">
        <f>16.7*0.3</f>
        <v>5.01</v>
      </c>
      <c r="U74" s="43">
        <f>16.7*0.6</f>
        <v>10.02</v>
      </c>
      <c r="V74" s="43">
        <f>16.7*1</f>
        <v>16.7</v>
      </c>
      <c r="W74" s="13"/>
      <c r="X74" s="15">
        <f t="shared" si="32"/>
        <v>0</v>
      </c>
      <c r="Y74" s="15">
        <f t="shared" si="32"/>
        <v>0</v>
      </c>
      <c r="Z74" s="15">
        <f t="shared" si="32"/>
        <v>0</v>
      </c>
      <c r="AA74" s="15">
        <f t="shared" si="32"/>
        <v>0</v>
      </c>
      <c r="AB74" s="15">
        <f t="shared" si="33"/>
        <v>0</v>
      </c>
      <c r="AC74" s="15">
        <f t="shared" si="33"/>
        <v>16.7</v>
      </c>
      <c r="AD74" s="15">
        <f t="shared" si="34"/>
        <v>16.7</v>
      </c>
      <c r="AE74" s="229">
        <f>SUM(AD74:AD91)</f>
        <v>300.59999999999991</v>
      </c>
    </row>
    <row r="75" spans="1:31" ht="39.75" customHeight="1">
      <c r="A75" s="249"/>
      <c r="B75" s="246"/>
      <c r="C75" s="220"/>
      <c r="D75" s="217"/>
      <c r="E75" s="220"/>
      <c r="F75" s="217"/>
      <c r="G75" s="49">
        <v>2</v>
      </c>
      <c r="H75" s="46" t="s">
        <v>176</v>
      </c>
      <c r="I75" s="222"/>
      <c r="J75" s="15"/>
      <c r="K75" s="15"/>
      <c r="L75" s="15"/>
      <c r="M75" s="15"/>
      <c r="N75" s="15"/>
      <c r="O75" s="15">
        <v>1</v>
      </c>
      <c r="P75" s="236"/>
      <c r="Q75" s="15">
        <v>0</v>
      </c>
      <c r="R75" s="43">
        <f t="shared" ref="R75:R103" si="35">16.7*0.1</f>
        <v>1.67</v>
      </c>
      <c r="S75" s="43">
        <f t="shared" ref="S75:S103" si="36">16.7*0.2</f>
        <v>3.34</v>
      </c>
      <c r="T75" s="43">
        <f t="shared" ref="T75:T103" si="37">16.7*0.3</f>
        <v>5.01</v>
      </c>
      <c r="U75" s="43">
        <f t="shared" ref="U75:U103" si="38">16.7*0.6</f>
        <v>10.02</v>
      </c>
      <c r="V75" s="43">
        <f t="shared" ref="V75:V103" si="39">16.7*1</f>
        <v>16.7</v>
      </c>
      <c r="W75" s="13"/>
      <c r="X75" s="15">
        <f t="shared" si="32"/>
        <v>0</v>
      </c>
      <c r="Y75" s="15">
        <f t="shared" si="32"/>
        <v>0</v>
      </c>
      <c r="Z75" s="15">
        <f t="shared" si="32"/>
        <v>0</v>
      </c>
      <c r="AA75" s="15">
        <f t="shared" si="32"/>
        <v>0</v>
      </c>
      <c r="AB75" s="15">
        <f t="shared" si="33"/>
        <v>0</v>
      </c>
      <c r="AC75" s="15">
        <f t="shared" si="33"/>
        <v>16.7</v>
      </c>
      <c r="AD75" s="15">
        <f t="shared" si="34"/>
        <v>16.7</v>
      </c>
      <c r="AE75" s="230"/>
    </row>
    <row r="76" spans="1:31" ht="46.5" customHeight="1">
      <c r="A76" s="249"/>
      <c r="B76" s="246"/>
      <c r="C76" s="220"/>
      <c r="D76" s="217"/>
      <c r="E76" s="220"/>
      <c r="F76" s="217"/>
      <c r="G76" s="49">
        <v>3</v>
      </c>
      <c r="H76" s="46" t="s">
        <v>177</v>
      </c>
      <c r="I76" s="222"/>
      <c r="J76" s="15"/>
      <c r="K76" s="15"/>
      <c r="L76" s="15"/>
      <c r="M76" s="15"/>
      <c r="N76" s="15"/>
      <c r="O76" s="15">
        <v>1</v>
      </c>
      <c r="P76" s="236"/>
      <c r="Q76" s="15">
        <v>0</v>
      </c>
      <c r="R76" s="43">
        <f t="shared" si="35"/>
        <v>1.67</v>
      </c>
      <c r="S76" s="43">
        <f t="shared" si="36"/>
        <v>3.34</v>
      </c>
      <c r="T76" s="43">
        <f t="shared" si="37"/>
        <v>5.01</v>
      </c>
      <c r="U76" s="43">
        <f t="shared" si="38"/>
        <v>10.02</v>
      </c>
      <c r="V76" s="43">
        <f t="shared" si="39"/>
        <v>16.7</v>
      </c>
      <c r="W76" s="13"/>
      <c r="X76" s="15">
        <f t="shared" si="32"/>
        <v>0</v>
      </c>
      <c r="Y76" s="15">
        <f t="shared" si="32"/>
        <v>0</v>
      </c>
      <c r="Z76" s="15">
        <f t="shared" si="32"/>
        <v>0</v>
      </c>
      <c r="AA76" s="15">
        <f t="shared" si="32"/>
        <v>0</v>
      </c>
      <c r="AB76" s="15">
        <f t="shared" si="33"/>
        <v>0</v>
      </c>
      <c r="AC76" s="15">
        <f t="shared" si="33"/>
        <v>16.7</v>
      </c>
      <c r="AD76" s="15">
        <f t="shared" si="34"/>
        <v>16.7</v>
      </c>
      <c r="AE76" s="230"/>
    </row>
    <row r="77" spans="1:31" ht="58.5" customHeight="1">
      <c r="A77" s="249"/>
      <c r="B77" s="246"/>
      <c r="C77" s="220"/>
      <c r="D77" s="217"/>
      <c r="E77" s="220"/>
      <c r="F77" s="217"/>
      <c r="G77" s="49">
        <v>4</v>
      </c>
      <c r="H77" s="46" t="s">
        <v>259</v>
      </c>
      <c r="I77" s="222"/>
      <c r="J77" s="15"/>
      <c r="K77" s="15"/>
      <c r="L77" s="15"/>
      <c r="M77" s="15"/>
      <c r="N77" s="15"/>
      <c r="O77" s="15">
        <v>1</v>
      </c>
      <c r="P77" s="236"/>
      <c r="Q77" s="15">
        <v>0</v>
      </c>
      <c r="R77" s="43">
        <f t="shared" si="35"/>
        <v>1.67</v>
      </c>
      <c r="S77" s="43">
        <f t="shared" si="36"/>
        <v>3.34</v>
      </c>
      <c r="T77" s="43">
        <f t="shared" si="37"/>
        <v>5.01</v>
      </c>
      <c r="U77" s="43">
        <f t="shared" si="38"/>
        <v>10.02</v>
      </c>
      <c r="V77" s="43">
        <f t="shared" si="39"/>
        <v>16.7</v>
      </c>
      <c r="W77" s="13"/>
      <c r="X77" s="15">
        <f t="shared" si="32"/>
        <v>0</v>
      </c>
      <c r="Y77" s="15">
        <f t="shared" si="32"/>
        <v>0</v>
      </c>
      <c r="Z77" s="15">
        <f t="shared" si="32"/>
        <v>0</v>
      </c>
      <c r="AA77" s="15">
        <f t="shared" si="32"/>
        <v>0</v>
      </c>
      <c r="AB77" s="15">
        <f t="shared" si="33"/>
        <v>0</v>
      </c>
      <c r="AC77" s="15">
        <f t="shared" si="33"/>
        <v>16.7</v>
      </c>
      <c r="AD77" s="15">
        <f t="shared" si="34"/>
        <v>16.7</v>
      </c>
      <c r="AE77" s="230"/>
    </row>
    <row r="78" spans="1:31" ht="58.5" customHeight="1">
      <c r="A78" s="249"/>
      <c r="B78" s="246"/>
      <c r="C78" s="220"/>
      <c r="D78" s="217"/>
      <c r="E78" s="220"/>
      <c r="F78" s="217"/>
      <c r="G78" s="49">
        <v>5</v>
      </c>
      <c r="H78" s="46" t="s">
        <v>178</v>
      </c>
      <c r="I78" s="222"/>
      <c r="J78" s="15"/>
      <c r="K78" s="15"/>
      <c r="L78" s="15"/>
      <c r="M78" s="15"/>
      <c r="N78" s="15"/>
      <c r="O78" s="15">
        <v>1</v>
      </c>
      <c r="P78" s="236"/>
      <c r="Q78" s="15">
        <v>0</v>
      </c>
      <c r="R78" s="43">
        <f t="shared" si="35"/>
        <v>1.67</v>
      </c>
      <c r="S78" s="43">
        <f t="shared" si="36"/>
        <v>3.34</v>
      </c>
      <c r="T78" s="43">
        <f t="shared" si="37"/>
        <v>5.01</v>
      </c>
      <c r="U78" s="43">
        <f t="shared" si="38"/>
        <v>10.02</v>
      </c>
      <c r="V78" s="43">
        <f t="shared" si="39"/>
        <v>16.7</v>
      </c>
      <c r="W78" s="13"/>
      <c r="X78" s="15">
        <f t="shared" si="32"/>
        <v>0</v>
      </c>
      <c r="Y78" s="15">
        <f t="shared" si="32"/>
        <v>0</v>
      </c>
      <c r="Z78" s="15">
        <f t="shared" si="32"/>
        <v>0</v>
      </c>
      <c r="AA78" s="15">
        <f t="shared" si="32"/>
        <v>0</v>
      </c>
      <c r="AB78" s="15">
        <f t="shared" si="33"/>
        <v>0</v>
      </c>
      <c r="AC78" s="15">
        <f t="shared" si="33"/>
        <v>16.7</v>
      </c>
      <c r="AD78" s="15">
        <f t="shared" si="34"/>
        <v>16.7</v>
      </c>
      <c r="AE78" s="230"/>
    </row>
    <row r="79" spans="1:31" ht="61.5" customHeight="1">
      <c r="A79" s="249"/>
      <c r="B79" s="246"/>
      <c r="C79" s="220"/>
      <c r="D79" s="217"/>
      <c r="E79" s="220"/>
      <c r="F79" s="217"/>
      <c r="G79" s="49">
        <v>6</v>
      </c>
      <c r="H79" s="46" t="s">
        <v>179</v>
      </c>
      <c r="I79" s="222"/>
      <c r="J79" s="15"/>
      <c r="K79" s="15"/>
      <c r="L79" s="15"/>
      <c r="M79" s="15"/>
      <c r="N79" s="15"/>
      <c r="O79" s="15">
        <v>1</v>
      </c>
      <c r="P79" s="236"/>
      <c r="Q79" s="15">
        <v>0</v>
      </c>
      <c r="R79" s="43">
        <f t="shared" si="35"/>
        <v>1.67</v>
      </c>
      <c r="S79" s="43">
        <f t="shared" si="36"/>
        <v>3.34</v>
      </c>
      <c r="T79" s="43">
        <f t="shared" si="37"/>
        <v>5.01</v>
      </c>
      <c r="U79" s="43">
        <f t="shared" si="38"/>
        <v>10.02</v>
      </c>
      <c r="V79" s="43">
        <f t="shared" si="39"/>
        <v>16.7</v>
      </c>
      <c r="W79" s="13"/>
      <c r="X79" s="15">
        <f t="shared" si="32"/>
        <v>0</v>
      </c>
      <c r="Y79" s="15">
        <f t="shared" si="32"/>
        <v>0</v>
      </c>
      <c r="Z79" s="15">
        <f t="shared" si="32"/>
        <v>0</v>
      </c>
      <c r="AA79" s="15">
        <f t="shared" si="32"/>
        <v>0</v>
      </c>
      <c r="AB79" s="15">
        <f t="shared" si="33"/>
        <v>0</v>
      </c>
      <c r="AC79" s="15">
        <f t="shared" si="33"/>
        <v>16.7</v>
      </c>
      <c r="AD79" s="15">
        <f t="shared" si="34"/>
        <v>16.7</v>
      </c>
      <c r="AE79" s="230"/>
    </row>
    <row r="80" spans="1:31" ht="52.5" customHeight="1">
      <c r="A80" s="249"/>
      <c r="B80" s="246"/>
      <c r="C80" s="220"/>
      <c r="D80" s="217"/>
      <c r="E80" s="220"/>
      <c r="F80" s="217"/>
      <c r="G80" s="49">
        <v>7</v>
      </c>
      <c r="H80" s="46" t="s">
        <v>180</v>
      </c>
      <c r="I80" s="222"/>
      <c r="J80" s="15"/>
      <c r="K80" s="15"/>
      <c r="L80" s="15"/>
      <c r="M80" s="15"/>
      <c r="N80" s="15"/>
      <c r="O80" s="15">
        <v>1</v>
      </c>
      <c r="P80" s="236"/>
      <c r="Q80" s="15">
        <v>0</v>
      </c>
      <c r="R80" s="43">
        <f t="shared" si="35"/>
        <v>1.67</v>
      </c>
      <c r="S80" s="43">
        <f t="shared" si="36"/>
        <v>3.34</v>
      </c>
      <c r="T80" s="43">
        <f t="shared" si="37"/>
        <v>5.01</v>
      </c>
      <c r="U80" s="43">
        <f t="shared" si="38"/>
        <v>10.02</v>
      </c>
      <c r="V80" s="43">
        <f t="shared" si="39"/>
        <v>16.7</v>
      </c>
      <c r="W80" s="13"/>
      <c r="X80" s="15">
        <f t="shared" si="32"/>
        <v>0</v>
      </c>
      <c r="Y80" s="15">
        <f t="shared" si="32"/>
        <v>0</v>
      </c>
      <c r="Z80" s="15">
        <f t="shared" si="32"/>
        <v>0</v>
      </c>
      <c r="AA80" s="15">
        <f t="shared" si="32"/>
        <v>0</v>
      </c>
      <c r="AB80" s="15">
        <f t="shared" si="33"/>
        <v>0</v>
      </c>
      <c r="AC80" s="15">
        <f t="shared" si="33"/>
        <v>16.7</v>
      </c>
      <c r="AD80" s="15">
        <f t="shared" si="34"/>
        <v>16.7</v>
      </c>
      <c r="AE80" s="230"/>
    </row>
    <row r="81" spans="1:31" ht="94.5" customHeight="1">
      <c r="A81" s="249"/>
      <c r="B81" s="246"/>
      <c r="C81" s="220"/>
      <c r="D81" s="217"/>
      <c r="E81" s="220"/>
      <c r="F81" s="217"/>
      <c r="G81" s="49">
        <v>8</v>
      </c>
      <c r="H81" s="46" t="s">
        <v>181</v>
      </c>
      <c r="I81" s="222" t="s">
        <v>293</v>
      </c>
      <c r="J81" s="15"/>
      <c r="K81" s="15"/>
      <c r="L81" s="15"/>
      <c r="M81" s="15"/>
      <c r="N81" s="15"/>
      <c r="O81" s="15">
        <v>1</v>
      </c>
      <c r="P81" s="236"/>
      <c r="Q81" s="15">
        <v>0</v>
      </c>
      <c r="R81" s="43">
        <f t="shared" si="35"/>
        <v>1.67</v>
      </c>
      <c r="S81" s="43">
        <f t="shared" si="36"/>
        <v>3.34</v>
      </c>
      <c r="T81" s="43">
        <f t="shared" si="37"/>
        <v>5.01</v>
      </c>
      <c r="U81" s="43">
        <f t="shared" si="38"/>
        <v>10.02</v>
      </c>
      <c r="V81" s="43">
        <f t="shared" si="39"/>
        <v>16.7</v>
      </c>
      <c r="W81" s="13"/>
      <c r="X81" s="15">
        <f t="shared" si="32"/>
        <v>0</v>
      </c>
      <c r="Y81" s="15">
        <f t="shared" si="32"/>
        <v>0</v>
      </c>
      <c r="Z81" s="15">
        <f t="shared" si="32"/>
        <v>0</v>
      </c>
      <c r="AA81" s="15">
        <f t="shared" si="32"/>
        <v>0</v>
      </c>
      <c r="AB81" s="15">
        <f t="shared" si="33"/>
        <v>0</v>
      </c>
      <c r="AC81" s="15">
        <f t="shared" si="33"/>
        <v>16.7</v>
      </c>
      <c r="AD81" s="15">
        <f t="shared" si="34"/>
        <v>16.7</v>
      </c>
      <c r="AE81" s="230"/>
    </row>
    <row r="82" spans="1:31" ht="52.5" customHeight="1">
      <c r="A82" s="249"/>
      <c r="B82" s="246"/>
      <c r="C82" s="220"/>
      <c r="D82" s="217"/>
      <c r="E82" s="220"/>
      <c r="F82" s="217"/>
      <c r="G82" s="49">
        <v>9</v>
      </c>
      <c r="H82" s="46" t="s">
        <v>182</v>
      </c>
      <c r="I82" s="222"/>
      <c r="J82" s="15"/>
      <c r="K82" s="15"/>
      <c r="L82" s="15"/>
      <c r="M82" s="15"/>
      <c r="N82" s="15"/>
      <c r="O82" s="15">
        <v>1</v>
      </c>
      <c r="P82" s="236"/>
      <c r="Q82" s="15">
        <v>0</v>
      </c>
      <c r="R82" s="43">
        <f t="shared" si="35"/>
        <v>1.67</v>
      </c>
      <c r="S82" s="43">
        <f t="shared" si="36"/>
        <v>3.34</v>
      </c>
      <c r="T82" s="43">
        <f t="shared" si="37"/>
        <v>5.01</v>
      </c>
      <c r="U82" s="43">
        <f t="shared" si="38"/>
        <v>10.02</v>
      </c>
      <c r="V82" s="43">
        <f t="shared" si="39"/>
        <v>16.7</v>
      </c>
      <c r="W82" s="13"/>
      <c r="X82" s="15">
        <f t="shared" si="32"/>
        <v>0</v>
      </c>
      <c r="Y82" s="15">
        <f t="shared" si="32"/>
        <v>0</v>
      </c>
      <c r="Z82" s="15">
        <f t="shared" si="32"/>
        <v>0</v>
      </c>
      <c r="AA82" s="15">
        <f t="shared" si="32"/>
        <v>0</v>
      </c>
      <c r="AB82" s="15">
        <f t="shared" si="33"/>
        <v>0</v>
      </c>
      <c r="AC82" s="15">
        <f t="shared" si="33"/>
        <v>16.7</v>
      </c>
      <c r="AD82" s="15">
        <f t="shared" si="34"/>
        <v>16.7</v>
      </c>
      <c r="AE82" s="230"/>
    </row>
    <row r="83" spans="1:31" ht="54.75" customHeight="1">
      <c r="A83" s="249"/>
      <c r="B83" s="246"/>
      <c r="C83" s="221"/>
      <c r="D83" s="218"/>
      <c r="E83" s="221"/>
      <c r="F83" s="218"/>
      <c r="G83" s="49">
        <v>10</v>
      </c>
      <c r="H83" s="46" t="s">
        <v>183</v>
      </c>
      <c r="I83" s="222"/>
      <c r="J83" s="15"/>
      <c r="K83" s="15"/>
      <c r="L83" s="15"/>
      <c r="M83" s="15"/>
      <c r="N83" s="15"/>
      <c r="O83" s="15">
        <v>1</v>
      </c>
      <c r="P83" s="236"/>
      <c r="Q83" s="15">
        <v>0</v>
      </c>
      <c r="R83" s="43">
        <f t="shared" si="35"/>
        <v>1.67</v>
      </c>
      <c r="S83" s="43">
        <f t="shared" si="36"/>
        <v>3.34</v>
      </c>
      <c r="T83" s="43">
        <f t="shared" si="37"/>
        <v>5.01</v>
      </c>
      <c r="U83" s="43">
        <f t="shared" si="38"/>
        <v>10.02</v>
      </c>
      <c r="V83" s="43">
        <f t="shared" si="39"/>
        <v>16.7</v>
      </c>
      <c r="W83" s="13"/>
      <c r="X83" s="15">
        <f t="shared" si="32"/>
        <v>0</v>
      </c>
      <c r="Y83" s="15">
        <f t="shared" si="32"/>
        <v>0</v>
      </c>
      <c r="Z83" s="15">
        <f t="shared" si="32"/>
        <v>0</v>
      </c>
      <c r="AA83" s="15">
        <f t="shared" si="32"/>
        <v>0</v>
      </c>
      <c r="AB83" s="15">
        <f t="shared" si="33"/>
        <v>0</v>
      </c>
      <c r="AC83" s="15">
        <f t="shared" si="33"/>
        <v>16.7</v>
      </c>
      <c r="AD83" s="15">
        <f t="shared" si="34"/>
        <v>16.7</v>
      </c>
      <c r="AE83" s="230"/>
    </row>
    <row r="84" spans="1:31" ht="60.75" customHeight="1">
      <c r="A84" s="249"/>
      <c r="B84" s="246"/>
      <c r="C84" s="219"/>
      <c r="D84" s="216" t="s">
        <v>37</v>
      </c>
      <c r="E84" s="219"/>
      <c r="F84" s="216" t="s">
        <v>184</v>
      </c>
      <c r="G84" s="49">
        <v>11</v>
      </c>
      <c r="H84" s="46" t="s">
        <v>185</v>
      </c>
      <c r="I84" s="222" t="s">
        <v>294</v>
      </c>
      <c r="J84" s="15"/>
      <c r="K84" s="15"/>
      <c r="L84" s="15"/>
      <c r="M84" s="15"/>
      <c r="N84" s="15"/>
      <c r="O84" s="15">
        <v>1</v>
      </c>
      <c r="P84" s="37"/>
      <c r="Q84" s="15">
        <v>0</v>
      </c>
      <c r="R84" s="43">
        <f t="shared" si="35"/>
        <v>1.67</v>
      </c>
      <c r="S84" s="43">
        <f t="shared" si="36"/>
        <v>3.34</v>
      </c>
      <c r="T84" s="43">
        <f t="shared" si="37"/>
        <v>5.01</v>
      </c>
      <c r="U84" s="43">
        <f t="shared" si="38"/>
        <v>10.02</v>
      </c>
      <c r="V84" s="43">
        <f t="shared" si="39"/>
        <v>16.7</v>
      </c>
      <c r="W84" s="13"/>
      <c r="X84" s="15">
        <f t="shared" si="32"/>
        <v>0</v>
      </c>
      <c r="Y84" s="15">
        <f t="shared" si="32"/>
        <v>0</v>
      </c>
      <c r="Z84" s="15">
        <f t="shared" si="32"/>
        <v>0</v>
      </c>
      <c r="AA84" s="15">
        <f t="shared" si="32"/>
        <v>0</v>
      </c>
      <c r="AB84" s="15">
        <f t="shared" si="33"/>
        <v>0</v>
      </c>
      <c r="AC84" s="15">
        <f t="shared" si="33"/>
        <v>16.7</v>
      </c>
      <c r="AD84" s="15">
        <f t="shared" si="34"/>
        <v>16.7</v>
      </c>
      <c r="AE84" s="230"/>
    </row>
    <row r="85" spans="1:31" ht="48" customHeight="1">
      <c r="A85" s="249"/>
      <c r="B85" s="246"/>
      <c r="C85" s="220"/>
      <c r="D85" s="217"/>
      <c r="E85" s="220"/>
      <c r="F85" s="217"/>
      <c r="G85" s="49">
        <v>12</v>
      </c>
      <c r="H85" s="46" t="s">
        <v>186</v>
      </c>
      <c r="I85" s="222"/>
      <c r="J85" s="15"/>
      <c r="K85" s="15"/>
      <c r="L85" s="15"/>
      <c r="M85" s="15"/>
      <c r="N85" s="15"/>
      <c r="O85" s="15">
        <v>1</v>
      </c>
      <c r="P85" s="37"/>
      <c r="Q85" s="15">
        <v>0</v>
      </c>
      <c r="R85" s="43">
        <f t="shared" si="35"/>
        <v>1.67</v>
      </c>
      <c r="S85" s="43">
        <f t="shared" si="36"/>
        <v>3.34</v>
      </c>
      <c r="T85" s="43">
        <f t="shared" si="37"/>
        <v>5.01</v>
      </c>
      <c r="U85" s="43">
        <f t="shared" si="38"/>
        <v>10.02</v>
      </c>
      <c r="V85" s="43">
        <f t="shared" si="39"/>
        <v>16.7</v>
      </c>
      <c r="W85" s="13"/>
      <c r="X85" s="15">
        <f t="shared" si="32"/>
        <v>0</v>
      </c>
      <c r="Y85" s="15">
        <f t="shared" si="32"/>
        <v>0</v>
      </c>
      <c r="Z85" s="15">
        <f t="shared" si="32"/>
        <v>0</v>
      </c>
      <c r="AA85" s="15">
        <f t="shared" si="32"/>
        <v>0</v>
      </c>
      <c r="AB85" s="15">
        <f t="shared" si="33"/>
        <v>0</v>
      </c>
      <c r="AC85" s="15">
        <f t="shared" si="33"/>
        <v>16.7</v>
      </c>
      <c r="AD85" s="15">
        <f t="shared" si="34"/>
        <v>16.7</v>
      </c>
      <c r="AE85" s="230"/>
    </row>
    <row r="86" spans="1:31" ht="87.75" customHeight="1">
      <c r="A86" s="249"/>
      <c r="B86" s="246"/>
      <c r="C86" s="220"/>
      <c r="D86" s="217"/>
      <c r="E86" s="220"/>
      <c r="F86" s="217"/>
      <c r="G86" s="49">
        <v>13</v>
      </c>
      <c r="H86" s="46" t="s">
        <v>260</v>
      </c>
      <c r="I86" s="222"/>
      <c r="J86" s="15"/>
      <c r="K86" s="15"/>
      <c r="L86" s="15"/>
      <c r="M86" s="15"/>
      <c r="N86" s="15"/>
      <c r="O86" s="15">
        <v>1</v>
      </c>
      <c r="P86" s="37"/>
      <c r="Q86" s="15">
        <v>0</v>
      </c>
      <c r="R86" s="43">
        <f t="shared" si="35"/>
        <v>1.67</v>
      </c>
      <c r="S86" s="43">
        <f t="shared" si="36"/>
        <v>3.34</v>
      </c>
      <c r="T86" s="43">
        <f t="shared" si="37"/>
        <v>5.01</v>
      </c>
      <c r="U86" s="43">
        <f t="shared" si="38"/>
        <v>10.02</v>
      </c>
      <c r="V86" s="43">
        <f t="shared" si="39"/>
        <v>16.7</v>
      </c>
      <c r="W86" s="13"/>
      <c r="X86" s="15">
        <f t="shared" si="32"/>
        <v>0</v>
      </c>
      <c r="Y86" s="15">
        <f t="shared" si="32"/>
        <v>0</v>
      </c>
      <c r="Z86" s="15">
        <f t="shared" si="32"/>
        <v>0</v>
      </c>
      <c r="AA86" s="15">
        <f t="shared" si="32"/>
        <v>0</v>
      </c>
      <c r="AB86" s="15">
        <f t="shared" si="33"/>
        <v>0</v>
      </c>
      <c r="AC86" s="15">
        <f t="shared" si="33"/>
        <v>16.7</v>
      </c>
      <c r="AD86" s="15">
        <f t="shared" si="34"/>
        <v>16.7</v>
      </c>
      <c r="AE86" s="230"/>
    </row>
    <row r="87" spans="1:31" ht="102.75" customHeight="1">
      <c r="A87" s="249"/>
      <c r="B87" s="246"/>
      <c r="C87" s="220"/>
      <c r="D87" s="217"/>
      <c r="E87" s="220"/>
      <c r="F87" s="217"/>
      <c r="G87" s="49">
        <v>14</v>
      </c>
      <c r="H87" s="46" t="s">
        <v>187</v>
      </c>
      <c r="I87" s="222"/>
      <c r="J87" s="15"/>
      <c r="K87" s="15"/>
      <c r="L87" s="15"/>
      <c r="M87" s="15"/>
      <c r="N87" s="15"/>
      <c r="O87" s="15">
        <v>1</v>
      </c>
      <c r="P87" s="37"/>
      <c r="Q87" s="15">
        <v>0</v>
      </c>
      <c r="R87" s="43">
        <f t="shared" si="35"/>
        <v>1.67</v>
      </c>
      <c r="S87" s="43">
        <f t="shared" si="36"/>
        <v>3.34</v>
      </c>
      <c r="T87" s="43">
        <f t="shared" si="37"/>
        <v>5.01</v>
      </c>
      <c r="U87" s="43">
        <f t="shared" si="38"/>
        <v>10.02</v>
      </c>
      <c r="V87" s="43">
        <f t="shared" si="39"/>
        <v>16.7</v>
      </c>
      <c r="W87" s="13"/>
      <c r="X87" s="15">
        <f t="shared" si="32"/>
        <v>0</v>
      </c>
      <c r="Y87" s="15">
        <f t="shared" si="32"/>
        <v>0</v>
      </c>
      <c r="Z87" s="15">
        <f t="shared" si="32"/>
        <v>0</v>
      </c>
      <c r="AA87" s="15">
        <f t="shared" si="32"/>
        <v>0</v>
      </c>
      <c r="AB87" s="15">
        <f t="shared" si="33"/>
        <v>0</v>
      </c>
      <c r="AC87" s="15">
        <f t="shared" si="33"/>
        <v>16.7</v>
      </c>
      <c r="AD87" s="15">
        <f t="shared" si="34"/>
        <v>16.7</v>
      </c>
      <c r="AE87" s="230"/>
    </row>
    <row r="88" spans="1:31" ht="84.75" customHeight="1">
      <c r="A88" s="249"/>
      <c r="B88" s="246"/>
      <c r="C88" s="220"/>
      <c r="D88" s="217"/>
      <c r="E88" s="220"/>
      <c r="F88" s="217"/>
      <c r="G88" s="49">
        <v>15</v>
      </c>
      <c r="H88" s="46" t="s">
        <v>188</v>
      </c>
      <c r="I88" s="222"/>
      <c r="J88" s="15"/>
      <c r="K88" s="15"/>
      <c r="L88" s="15"/>
      <c r="M88" s="15"/>
      <c r="N88" s="15"/>
      <c r="O88" s="15">
        <v>1</v>
      </c>
      <c r="P88" s="37"/>
      <c r="Q88" s="15">
        <v>0</v>
      </c>
      <c r="R88" s="43">
        <f t="shared" si="35"/>
        <v>1.67</v>
      </c>
      <c r="S88" s="43">
        <f t="shared" si="36"/>
        <v>3.34</v>
      </c>
      <c r="T88" s="43">
        <f t="shared" si="37"/>
        <v>5.01</v>
      </c>
      <c r="U88" s="43">
        <f t="shared" si="38"/>
        <v>10.02</v>
      </c>
      <c r="V88" s="43">
        <f t="shared" si="39"/>
        <v>16.7</v>
      </c>
      <c r="W88" s="13"/>
      <c r="X88" s="15">
        <f t="shared" si="32"/>
        <v>0</v>
      </c>
      <c r="Y88" s="15">
        <f t="shared" si="32"/>
        <v>0</v>
      </c>
      <c r="Z88" s="15">
        <f t="shared" si="32"/>
        <v>0</v>
      </c>
      <c r="AA88" s="15">
        <f t="shared" si="32"/>
        <v>0</v>
      </c>
      <c r="AB88" s="15">
        <f t="shared" si="33"/>
        <v>0</v>
      </c>
      <c r="AC88" s="15">
        <f t="shared" si="33"/>
        <v>16.7</v>
      </c>
      <c r="AD88" s="15">
        <f t="shared" si="34"/>
        <v>16.7</v>
      </c>
      <c r="AE88" s="230"/>
    </row>
    <row r="89" spans="1:31" ht="56.25" customHeight="1">
      <c r="A89" s="249"/>
      <c r="B89" s="246"/>
      <c r="C89" s="220"/>
      <c r="D89" s="217"/>
      <c r="E89" s="220"/>
      <c r="F89" s="217"/>
      <c r="G89" s="49">
        <v>16</v>
      </c>
      <c r="H89" s="33" t="s">
        <v>189</v>
      </c>
      <c r="I89" s="222"/>
      <c r="J89" s="15"/>
      <c r="K89" s="15"/>
      <c r="L89" s="15"/>
      <c r="M89" s="15"/>
      <c r="N89" s="15"/>
      <c r="O89" s="15">
        <v>1</v>
      </c>
      <c r="P89" s="37"/>
      <c r="Q89" s="15">
        <v>0</v>
      </c>
      <c r="R89" s="43">
        <f t="shared" si="35"/>
        <v>1.67</v>
      </c>
      <c r="S89" s="43">
        <f t="shared" si="36"/>
        <v>3.34</v>
      </c>
      <c r="T89" s="43">
        <f t="shared" si="37"/>
        <v>5.01</v>
      </c>
      <c r="U89" s="43">
        <f t="shared" si="38"/>
        <v>10.02</v>
      </c>
      <c r="V89" s="43">
        <f t="shared" si="39"/>
        <v>16.7</v>
      </c>
      <c r="W89" s="13"/>
      <c r="X89" s="15">
        <f t="shared" si="32"/>
        <v>0</v>
      </c>
      <c r="Y89" s="15">
        <f t="shared" si="32"/>
        <v>0</v>
      </c>
      <c r="Z89" s="15">
        <f t="shared" si="32"/>
        <v>0</v>
      </c>
      <c r="AA89" s="15">
        <f t="shared" si="32"/>
        <v>0</v>
      </c>
      <c r="AB89" s="15">
        <f t="shared" si="33"/>
        <v>0</v>
      </c>
      <c r="AC89" s="15">
        <f t="shared" si="33"/>
        <v>16.7</v>
      </c>
      <c r="AD89" s="15">
        <f t="shared" si="34"/>
        <v>16.7</v>
      </c>
      <c r="AE89" s="230"/>
    </row>
    <row r="90" spans="1:31" ht="52.5" customHeight="1">
      <c r="A90" s="249"/>
      <c r="B90" s="246"/>
      <c r="C90" s="221"/>
      <c r="D90" s="218"/>
      <c r="E90" s="221"/>
      <c r="F90" s="218"/>
      <c r="G90" s="49">
        <v>17</v>
      </c>
      <c r="H90" s="46" t="s">
        <v>190</v>
      </c>
      <c r="I90" s="222"/>
      <c r="J90" s="15"/>
      <c r="K90" s="15"/>
      <c r="L90" s="15"/>
      <c r="M90" s="15"/>
      <c r="N90" s="15"/>
      <c r="O90" s="15">
        <v>1</v>
      </c>
      <c r="P90" s="236"/>
      <c r="Q90" s="15">
        <v>0</v>
      </c>
      <c r="R90" s="43">
        <f t="shared" si="35"/>
        <v>1.67</v>
      </c>
      <c r="S90" s="43">
        <f t="shared" si="36"/>
        <v>3.34</v>
      </c>
      <c r="T90" s="43">
        <f t="shared" si="37"/>
        <v>5.01</v>
      </c>
      <c r="U90" s="43">
        <f t="shared" si="38"/>
        <v>10.02</v>
      </c>
      <c r="V90" s="43">
        <f t="shared" si="39"/>
        <v>16.7</v>
      </c>
      <c r="W90" s="13"/>
      <c r="X90" s="15">
        <f t="shared" si="32"/>
        <v>0</v>
      </c>
      <c r="Y90" s="15">
        <f t="shared" si="32"/>
        <v>0</v>
      </c>
      <c r="Z90" s="15">
        <f t="shared" si="32"/>
        <v>0</v>
      </c>
      <c r="AA90" s="15">
        <f t="shared" si="32"/>
        <v>0</v>
      </c>
      <c r="AB90" s="15">
        <f t="shared" si="33"/>
        <v>0</v>
      </c>
      <c r="AC90" s="15">
        <f t="shared" si="33"/>
        <v>16.7</v>
      </c>
      <c r="AD90" s="15">
        <f t="shared" si="34"/>
        <v>16.7</v>
      </c>
      <c r="AE90" s="230"/>
    </row>
    <row r="91" spans="1:31" ht="94.5" customHeight="1">
      <c r="A91" s="250"/>
      <c r="B91" s="247"/>
      <c r="C91" s="17"/>
      <c r="D91" s="46" t="s">
        <v>38</v>
      </c>
      <c r="E91" s="49"/>
      <c r="F91" s="46" t="s">
        <v>192</v>
      </c>
      <c r="G91" s="49">
        <v>18</v>
      </c>
      <c r="H91" s="46" t="s">
        <v>191</v>
      </c>
      <c r="I91" s="222"/>
      <c r="J91" s="15"/>
      <c r="K91" s="15"/>
      <c r="L91" s="15"/>
      <c r="M91" s="15"/>
      <c r="N91" s="15"/>
      <c r="O91" s="15">
        <v>1</v>
      </c>
      <c r="P91" s="236"/>
      <c r="Q91" s="15">
        <v>0</v>
      </c>
      <c r="R91" s="43">
        <f t="shared" si="35"/>
        <v>1.67</v>
      </c>
      <c r="S91" s="43">
        <f t="shared" si="36"/>
        <v>3.34</v>
      </c>
      <c r="T91" s="43">
        <f t="shared" si="37"/>
        <v>5.01</v>
      </c>
      <c r="U91" s="43">
        <f t="shared" si="38"/>
        <v>10.02</v>
      </c>
      <c r="V91" s="43">
        <f t="shared" si="39"/>
        <v>16.7</v>
      </c>
      <c r="W91" s="13"/>
      <c r="X91" s="15">
        <f t="shared" si="32"/>
        <v>0</v>
      </c>
      <c r="Y91" s="15">
        <f t="shared" si="32"/>
        <v>0</v>
      </c>
      <c r="Z91" s="15">
        <f t="shared" si="32"/>
        <v>0</v>
      </c>
      <c r="AA91" s="15">
        <f t="shared" si="32"/>
        <v>0</v>
      </c>
      <c r="AB91" s="15">
        <f t="shared" si="33"/>
        <v>0</v>
      </c>
      <c r="AC91" s="15">
        <f t="shared" si="33"/>
        <v>16.7</v>
      </c>
      <c r="AD91" s="15">
        <f t="shared" si="34"/>
        <v>16.7</v>
      </c>
      <c r="AE91" s="231"/>
    </row>
    <row r="92" spans="1:31" ht="70.5" customHeight="1">
      <c r="A92" s="248">
        <v>7</v>
      </c>
      <c r="B92" s="245" t="s">
        <v>195</v>
      </c>
      <c r="C92" s="219"/>
      <c r="D92" s="216" t="s">
        <v>193</v>
      </c>
      <c r="E92" s="219"/>
      <c r="F92" s="216" t="s">
        <v>194</v>
      </c>
      <c r="G92" s="49">
        <v>1</v>
      </c>
      <c r="H92" s="46" t="s">
        <v>186</v>
      </c>
      <c r="I92" s="222" t="s">
        <v>294</v>
      </c>
      <c r="J92" s="15"/>
      <c r="K92" s="15"/>
      <c r="L92" s="15"/>
      <c r="M92" s="15"/>
      <c r="N92" s="15"/>
      <c r="O92" s="15">
        <v>1</v>
      </c>
      <c r="P92" s="236"/>
      <c r="Q92" s="15">
        <v>0</v>
      </c>
      <c r="R92" s="43">
        <f t="shared" si="35"/>
        <v>1.67</v>
      </c>
      <c r="S92" s="43">
        <f t="shared" si="36"/>
        <v>3.34</v>
      </c>
      <c r="T92" s="43">
        <f t="shared" si="37"/>
        <v>5.01</v>
      </c>
      <c r="U92" s="43">
        <f t="shared" si="38"/>
        <v>10.02</v>
      </c>
      <c r="V92" s="43">
        <f t="shared" si="39"/>
        <v>16.7</v>
      </c>
      <c r="W92" s="13"/>
      <c r="X92" s="15">
        <f t="shared" si="32"/>
        <v>0</v>
      </c>
      <c r="Y92" s="15">
        <f t="shared" si="32"/>
        <v>0</v>
      </c>
      <c r="Z92" s="15">
        <f t="shared" si="32"/>
        <v>0</v>
      </c>
      <c r="AA92" s="15">
        <f t="shared" si="32"/>
        <v>0</v>
      </c>
      <c r="AB92" s="15">
        <f t="shared" si="33"/>
        <v>0</v>
      </c>
      <c r="AC92" s="15">
        <f t="shared" si="33"/>
        <v>16.7</v>
      </c>
      <c r="AD92" s="15">
        <f t="shared" si="34"/>
        <v>16.7</v>
      </c>
      <c r="AE92" s="232">
        <f>SUM(AD92:AD105)</f>
        <v>266.99999999999994</v>
      </c>
    </row>
    <row r="93" spans="1:31" ht="60.75" customHeight="1">
      <c r="A93" s="249"/>
      <c r="B93" s="246"/>
      <c r="C93" s="220"/>
      <c r="D93" s="217"/>
      <c r="E93" s="220"/>
      <c r="F93" s="217"/>
      <c r="G93" s="49">
        <v>2</v>
      </c>
      <c r="H93" s="46" t="s">
        <v>196</v>
      </c>
      <c r="I93" s="222"/>
      <c r="J93" s="15"/>
      <c r="K93" s="15"/>
      <c r="L93" s="15"/>
      <c r="M93" s="15"/>
      <c r="N93" s="15"/>
      <c r="O93" s="15">
        <v>1</v>
      </c>
      <c r="P93" s="236"/>
      <c r="Q93" s="15">
        <v>0</v>
      </c>
      <c r="R93" s="43">
        <f t="shared" si="35"/>
        <v>1.67</v>
      </c>
      <c r="S93" s="43">
        <f t="shared" si="36"/>
        <v>3.34</v>
      </c>
      <c r="T93" s="43">
        <f t="shared" si="37"/>
        <v>5.01</v>
      </c>
      <c r="U93" s="43">
        <f t="shared" si="38"/>
        <v>10.02</v>
      </c>
      <c r="V93" s="43">
        <f t="shared" si="39"/>
        <v>16.7</v>
      </c>
      <c r="W93" s="13"/>
      <c r="X93" s="15">
        <f t="shared" si="32"/>
        <v>0</v>
      </c>
      <c r="Y93" s="15">
        <f t="shared" si="32"/>
        <v>0</v>
      </c>
      <c r="Z93" s="15">
        <f t="shared" si="32"/>
        <v>0</v>
      </c>
      <c r="AA93" s="15">
        <f t="shared" si="32"/>
        <v>0</v>
      </c>
      <c r="AB93" s="15">
        <f t="shared" si="33"/>
        <v>0</v>
      </c>
      <c r="AC93" s="15">
        <f t="shared" si="33"/>
        <v>16.7</v>
      </c>
      <c r="AD93" s="15">
        <f t="shared" si="34"/>
        <v>16.7</v>
      </c>
      <c r="AE93" s="232"/>
    </row>
    <row r="94" spans="1:31" ht="73.5" customHeight="1">
      <c r="A94" s="249"/>
      <c r="B94" s="246"/>
      <c r="C94" s="221"/>
      <c r="D94" s="218"/>
      <c r="E94" s="221"/>
      <c r="F94" s="218"/>
      <c r="G94" s="49">
        <v>3</v>
      </c>
      <c r="H94" s="46" t="s">
        <v>197</v>
      </c>
      <c r="I94" s="222"/>
      <c r="J94" s="15"/>
      <c r="K94" s="15"/>
      <c r="L94" s="15"/>
      <c r="M94" s="15"/>
      <c r="N94" s="15"/>
      <c r="O94" s="15">
        <v>1</v>
      </c>
      <c r="P94" s="37"/>
      <c r="Q94" s="15">
        <v>0</v>
      </c>
      <c r="R94" s="43">
        <f t="shared" si="35"/>
        <v>1.67</v>
      </c>
      <c r="S94" s="43">
        <f t="shared" si="36"/>
        <v>3.34</v>
      </c>
      <c r="T94" s="43">
        <f t="shared" si="37"/>
        <v>5.01</v>
      </c>
      <c r="U94" s="43">
        <f t="shared" si="38"/>
        <v>10.02</v>
      </c>
      <c r="V94" s="43">
        <f t="shared" si="39"/>
        <v>16.7</v>
      </c>
      <c r="W94" s="13"/>
      <c r="X94" s="15">
        <f t="shared" si="32"/>
        <v>0</v>
      </c>
      <c r="Y94" s="15">
        <f t="shared" si="32"/>
        <v>0</v>
      </c>
      <c r="Z94" s="15">
        <f t="shared" si="32"/>
        <v>0</v>
      </c>
      <c r="AA94" s="15">
        <f t="shared" si="32"/>
        <v>0</v>
      </c>
      <c r="AB94" s="15">
        <f t="shared" si="33"/>
        <v>0</v>
      </c>
      <c r="AC94" s="15">
        <f t="shared" si="33"/>
        <v>16.7</v>
      </c>
      <c r="AD94" s="15">
        <f t="shared" si="34"/>
        <v>16.7</v>
      </c>
      <c r="AE94" s="232"/>
    </row>
    <row r="95" spans="1:31" ht="72" customHeight="1">
      <c r="A95" s="249"/>
      <c r="B95" s="246"/>
      <c r="C95" s="223"/>
      <c r="D95" s="222" t="s">
        <v>39</v>
      </c>
      <c r="E95" s="223"/>
      <c r="F95" s="222" t="s">
        <v>198</v>
      </c>
      <c r="G95" s="49">
        <v>4</v>
      </c>
      <c r="H95" s="46" t="s">
        <v>199</v>
      </c>
      <c r="I95" s="222" t="s">
        <v>293</v>
      </c>
      <c r="J95" s="15"/>
      <c r="K95" s="15"/>
      <c r="L95" s="15"/>
      <c r="M95" s="15"/>
      <c r="N95" s="15"/>
      <c r="O95" s="15">
        <v>1</v>
      </c>
      <c r="P95" s="37"/>
      <c r="Q95" s="15">
        <v>0</v>
      </c>
      <c r="R95" s="43">
        <f t="shared" si="35"/>
        <v>1.67</v>
      </c>
      <c r="S95" s="43">
        <f t="shared" si="36"/>
        <v>3.34</v>
      </c>
      <c r="T95" s="43">
        <f t="shared" si="37"/>
        <v>5.01</v>
      </c>
      <c r="U95" s="43">
        <f t="shared" si="38"/>
        <v>10.02</v>
      </c>
      <c r="V95" s="43">
        <f t="shared" si="39"/>
        <v>16.7</v>
      </c>
      <c r="W95" s="13"/>
      <c r="X95" s="15">
        <f t="shared" si="32"/>
        <v>0</v>
      </c>
      <c r="Y95" s="15">
        <f t="shared" si="32"/>
        <v>0</v>
      </c>
      <c r="Z95" s="15">
        <f t="shared" si="32"/>
        <v>0</v>
      </c>
      <c r="AA95" s="15">
        <f t="shared" si="32"/>
        <v>0</v>
      </c>
      <c r="AB95" s="15">
        <f t="shared" si="33"/>
        <v>0</v>
      </c>
      <c r="AC95" s="15">
        <f t="shared" si="33"/>
        <v>16.7</v>
      </c>
      <c r="AD95" s="15">
        <f t="shared" si="34"/>
        <v>16.7</v>
      </c>
      <c r="AE95" s="232"/>
    </row>
    <row r="96" spans="1:31" ht="51.75" customHeight="1">
      <c r="A96" s="249"/>
      <c r="B96" s="246"/>
      <c r="C96" s="223"/>
      <c r="D96" s="222"/>
      <c r="E96" s="223"/>
      <c r="F96" s="222"/>
      <c r="G96" s="49">
        <v>5</v>
      </c>
      <c r="H96" s="46" t="s">
        <v>200</v>
      </c>
      <c r="I96" s="222"/>
      <c r="J96" s="15"/>
      <c r="K96" s="15"/>
      <c r="L96" s="15"/>
      <c r="M96" s="15"/>
      <c r="N96" s="15"/>
      <c r="O96" s="15">
        <v>1</v>
      </c>
      <c r="P96" s="37"/>
      <c r="Q96" s="15">
        <v>0</v>
      </c>
      <c r="R96" s="43">
        <f t="shared" si="35"/>
        <v>1.67</v>
      </c>
      <c r="S96" s="43">
        <f t="shared" si="36"/>
        <v>3.34</v>
      </c>
      <c r="T96" s="43">
        <f t="shared" si="37"/>
        <v>5.01</v>
      </c>
      <c r="U96" s="43">
        <f t="shared" si="38"/>
        <v>10.02</v>
      </c>
      <c r="V96" s="43">
        <f t="shared" si="39"/>
        <v>16.7</v>
      </c>
      <c r="W96" s="13"/>
      <c r="X96" s="15">
        <f t="shared" si="32"/>
        <v>0</v>
      </c>
      <c r="Y96" s="15">
        <f t="shared" si="32"/>
        <v>0</v>
      </c>
      <c r="Z96" s="15">
        <f t="shared" si="32"/>
        <v>0</v>
      </c>
      <c r="AA96" s="15">
        <f t="shared" si="32"/>
        <v>0</v>
      </c>
      <c r="AB96" s="15">
        <f t="shared" si="33"/>
        <v>0</v>
      </c>
      <c r="AC96" s="15">
        <f t="shared" si="33"/>
        <v>16.7</v>
      </c>
      <c r="AD96" s="15">
        <f t="shared" si="34"/>
        <v>16.7</v>
      </c>
      <c r="AE96" s="232"/>
    </row>
    <row r="97" spans="1:31" ht="63" customHeight="1">
      <c r="A97" s="249"/>
      <c r="B97" s="246"/>
      <c r="C97" s="223"/>
      <c r="D97" s="222"/>
      <c r="E97" s="223"/>
      <c r="F97" s="222"/>
      <c r="G97" s="49">
        <v>6</v>
      </c>
      <c r="H97" s="46" t="s">
        <v>201</v>
      </c>
      <c r="I97" s="222"/>
      <c r="J97" s="15"/>
      <c r="K97" s="15"/>
      <c r="L97" s="15"/>
      <c r="M97" s="15"/>
      <c r="N97" s="15"/>
      <c r="O97" s="15">
        <v>1</v>
      </c>
      <c r="P97" s="37"/>
      <c r="Q97" s="15">
        <v>0</v>
      </c>
      <c r="R97" s="43">
        <f t="shared" si="35"/>
        <v>1.67</v>
      </c>
      <c r="S97" s="43">
        <f t="shared" si="36"/>
        <v>3.34</v>
      </c>
      <c r="T97" s="43">
        <f t="shared" si="37"/>
        <v>5.01</v>
      </c>
      <c r="U97" s="43">
        <f t="shared" si="38"/>
        <v>10.02</v>
      </c>
      <c r="V97" s="43">
        <f t="shared" si="39"/>
        <v>16.7</v>
      </c>
      <c r="W97" s="13"/>
      <c r="X97" s="15">
        <f t="shared" si="32"/>
        <v>0</v>
      </c>
      <c r="Y97" s="15">
        <f t="shared" si="32"/>
        <v>0</v>
      </c>
      <c r="Z97" s="15">
        <f t="shared" si="32"/>
        <v>0</v>
      </c>
      <c r="AA97" s="15">
        <f t="shared" si="32"/>
        <v>0</v>
      </c>
      <c r="AB97" s="15">
        <f t="shared" si="33"/>
        <v>0</v>
      </c>
      <c r="AC97" s="15">
        <f t="shared" si="33"/>
        <v>16.7</v>
      </c>
      <c r="AD97" s="15">
        <f t="shared" si="34"/>
        <v>16.7</v>
      </c>
      <c r="AE97" s="232"/>
    </row>
    <row r="98" spans="1:31" ht="30" customHeight="1">
      <c r="A98" s="249"/>
      <c r="B98" s="246"/>
      <c r="C98" s="223"/>
      <c r="D98" s="222"/>
      <c r="E98" s="223"/>
      <c r="F98" s="222"/>
      <c r="G98" s="49">
        <v>7</v>
      </c>
      <c r="H98" s="46" t="s">
        <v>261</v>
      </c>
      <c r="I98" s="222" t="s">
        <v>293</v>
      </c>
      <c r="J98" s="15"/>
      <c r="K98" s="15"/>
      <c r="L98" s="15"/>
      <c r="M98" s="15"/>
      <c r="N98" s="15"/>
      <c r="O98" s="15">
        <v>1</v>
      </c>
      <c r="P98" s="236"/>
      <c r="Q98" s="15">
        <v>0</v>
      </c>
      <c r="R98" s="43">
        <f t="shared" si="35"/>
        <v>1.67</v>
      </c>
      <c r="S98" s="43">
        <f t="shared" si="36"/>
        <v>3.34</v>
      </c>
      <c r="T98" s="43">
        <f t="shared" si="37"/>
        <v>5.01</v>
      </c>
      <c r="U98" s="43">
        <f t="shared" si="38"/>
        <v>10.02</v>
      </c>
      <c r="V98" s="43">
        <f t="shared" si="39"/>
        <v>16.7</v>
      </c>
      <c r="W98" s="13"/>
      <c r="X98" s="15">
        <f t="shared" si="32"/>
        <v>0</v>
      </c>
      <c r="Y98" s="15">
        <f t="shared" si="32"/>
        <v>0</v>
      </c>
      <c r="Z98" s="15">
        <f t="shared" si="32"/>
        <v>0</v>
      </c>
      <c r="AA98" s="15">
        <f t="shared" si="32"/>
        <v>0</v>
      </c>
      <c r="AB98" s="15">
        <f t="shared" si="33"/>
        <v>0</v>
      </c>
      <c r="AC98" s="15">
        <f t="shared" si="33"/>
        <v>16.7</v>
      </c>
      <c r="AD98" s="15">
        <f t="shared" si="34"/>
        <v>16.7</v>
      </c>
      <c r="AE98" s="232"/>
    </row>
    <row r="99" spans="1:31" ht="81" customHeight="1">
      <c r="A99" s="249"/>
      <c r="B99" s="246"/>
      <c r="C99" s="223"/>
      <c r="D99" s="222"/>
      <c r="E99" s="223"/>
      <c r="F99" s="222"/>
      <c r="G99" s="49">
        <v>8</v>
      </c>
      <c r="H99" s="46" t="s">
        <v>262</v>
      </c>
      <c r="I99" s="222"/>
      <c r="J99" s="15"/>
      <c r="K99" s="15"/>
      <c r="L99" s="15"/>
      <c r="M99" s="15"/>
      <c r="N99" s="15"/>
      <c r="O99" s="15">
        <v>1</v>
      </c>
      <c r="P99" s="236"/>
      <c r="Q99" s="15">
        <v>0</v>
      </c>
      <c r="R99" s="43">
        <f t="shared" si="35"/>
        <v>1.67</v>
      </c>
      <c r="S99" s="43">
        <f t="shared" si="36"/>
        <v>3.34</v>
      </c>
      <c r="T99" s="43">
        <f t="shared" si="37"/>
        <v>5.01</v>
      </c>
      <c r="U99" s="43">
        <f t="shared" si="38"/>
        <v>10.02</v>
      </c>
      <c r="V99" s="43">
        <f t="shared" si="39"/>
        <v>16.7</v>
      </c>
      <c r="W99" s="13"/>
      <c r="X99" s="15">
        <f t="shared" si="32"/>
        <v>0</v>
      </c>
      <c r="Y99" s="15">
        <f t="shared" si="32"/>
        <v>0</v>
      </c>
      <c r="Z99" s="15">
        <f t="shared" si="32"/>
        <v>0</v>
      </c>
      <c r="AA99" s="15">
        <f t="shared" si="32"/>
        <v>0</v>
      </c>
      <c r="AB99" s="15">
        <f t="shared" si="33"/>
        <v>0</v>
      </c>
      <c r="AC99" s="15">
        <f t="shared" si="33"/>
        <v>16.7</v>
      </c>
      <c r="AD99" s="15">
        <f t="shared" si="34"/>
        <v>16.7</v>
      </c>
      <c r="AE99" s="232"/>
    </row>
    <row r="100" spans="1:31" ht="58.5" customHeight="1">
      <c r="A100" s="249"/>
      <c r="B100" s="246"/>
      <c r="C100" s="223"/>
      <c r="D100" s="222"/>
      <c r="E100" s="223"/>
      <c r="F100" s="222"/>
      <c r="G100" s="49">
        <v>9</v>
      </c>
      <c r="H100" s="46" t="s">
        <v>202</v>
      </c>
      <c r="I100" s="222"/>
      <c r="J100" s="15"/>
      <c r="K100" s="15"/>
      <c r="L100" s="15"/>
      <c r="M100" s="15"/>
      <c r="N100" s="15"/>
      <c r="O100" s="15">
        <v>1</v>
      </c>
      <c r="P100" s="236"/>
      <c r="Q100" s="15">
        <v>0</v>
      </c>
      <c r="R100" s="43">
        <f t="shared" si="35"/>
        <v>1.67</v>
      </c>
      <c r="S100" s="43">
        <f t="shared" si="36"/>
        <v>3.34</v>
      </c>
      <c r="T100" s="43">
        <f t="shared" si="37"/>
        <v>5.01</v>
      </c>
      <c r="U100" s="43">
        <f t="shared" si="38"/>
        <v>10.02</v>
      </c>
      <c r="V100" s="43">
        <f t="shared" si="39"/>
        <v>16.7</v>
      </c>
      <c r="W100" s="13"/>
      <c r="X100" s="15">
        <f t="shared" si="32"/>
        <v>0</v>
      </c>
      <c r="Y100" s="15">
        <f t="shared" si="32"/>
        <v>0</v>
      </c>
      <c r="Z100" s="15">
        <f t="shared" si="32"/>
        <v>0</v>
      </c>
      <c r="AA100" s="15">
        <f t="shared" si="32"/>
        <v>0</v>
      </c>
      <c r="AB100" s="15">
        <f t="shared" si="33"/>
        <v>0</v>
      </c>
      <c r="AC100" s="15">
        <f t="shared" si="33"/>
        <v>16.7</v>
      </c>
      <c r="AD100" s="15">
        <f t="shared" si="34"/>
        <v>16.7</v>
      </c>
      <c r="AE100" s="232"/>
    </row>
    <row r="101" spans="1:31" ht="94.5" customHeight="1">
      <c r="A101" s="249"/>
      <c r="B101" s="246"/>
      <c r="C101" s="219"/>
      <c r="D101" s="222" t="s">
        <v>40</v>
      </c>
      <c r="E101" s="223"/>
      <c r="F101" s="222" t="s">
        <v>203</v>
      </c>
      <c r="G101" s="49">
        <v>10</v>
      </c>
      <c r="H101" s="46" t="s">
        <v>204</v>
      </c>
      <c r="I101" s="222" t="s">
        <v>249</v>
      </c>
      <c r="J101" s="15"/>
      <c r="K101" s="15"/>
      <c r="L101" s="15"/>
      <c r="M101" s="15"/>
      <c r="N101" s="15"/>
      <c r="O101" s="15">
        <v>1</v>
      </c>
      <c r="P101" s="236"/>
      <c r="Q101" s="15">
        <v>0</v>
      </c>
      <c r="R101" s="43">
        <f t="shared" si="35"/>
        <v>1.67</v>
      </c>
      <c r="S101" s="43">
        <f t="shared" si="36"/>
        <v>3.34</v>
      </c>
      <c r="T101" s="43">
        <f t="shared" si="37"/>
        <v>5.01</v>
      </c>
      <c r="U101" s="43">
        <f t="shared" si="38"/>
        <v>10.02</v>
      </c>
      <c r="V101" s="43">
        <f t="shared" si="39"/>
        <v>16.7</v>
      </c>
      <c r="W101" s="13"/>
      <c r="X101" s="15">
        <f t="shared" si="32"/>
        <v>0</v>
      </c>
      <c r="Y101" s="15">
        <f t="shared" si="32"/>
        <v>0</v>
      </c>
      <c r="Z101" s="15">
        <f t="shared" si="32"/>
        <v>0</v>
      </c>
      <c r="AA101" s="15">
        <f t="shared" si="32"/>
        <v>0</v>
      </c>
      <c r="AB101" s="15">
        <f t="shared" si="33"/>
        <v>0</v>
      </c>
      <c r="AC101" s="15">
        <f t="shared" si="33"/>
        <v>16.7</v>
      </c>
      <c r="AD101" s="15">
        <f t="shared" si="34"/>
        <v>16.7</v>
      </c>
      <c r="AE101" s="232"/>
    </row>
    <row r="102" spans="1:31" ht="118.5" customHeight="1">
      <c r="A102" s="249"/>
      <c r="B102" s="246"/>
      <c r="C102" s="220"/>
      <c r="D102" s="222"/>
      <c r="E102" s="223"/>
      <c r="F102" s="222"/>
      <c r="G102" s="49">
        <v>11</v>
      </c>
      <c r="H102" s="46" t="s">
        <v>205</v>
      </c>
      <c r="I102" s="222"/>
      <c r="J102" s="15"/>
      <c r="K102" s="15"/>
      <c r="L102" s="15"/>
      <c r="M102" s="15"/>
      <c r="N102" s="15"/>
      <c r="O102" s="15">
        <v>1</v>
      </c>
      <c r="P102" s="37"/>
      <c r="Q102" s="15">
        <v>0</v>
      </c>
      <c r="R102" s="43">
        <f t="shared" si="35"/>
        <v>1.67</v>
      </c>
      <c r="S102" s="43">
        <f t="shared" si="36"/>
        <v>3.34</v>
      </c>
      <c r="T102" s="43">
        <f t="shared" si="37"/>
        <v>5.01</v>
      </c>
      <c r="U102" s="43">
        <f t="shared" si="38"/>
        <v>10.02</v>
      </c>
      <c r="V102" s="43">
        <f t="shared" si="39"/>
        <v>16.7</v>
      </c>
      <c r="W102" s="13"/>
      <c r="X102" s="15">
        <f t="shared" si="32"/>
        <v>0</v>
      </c>
      <c r="Y102" s="15">
        <f t="shared" si="32"/>
        <v>0</v>
      </c>
      <c r="Z102" s="15">
        <f t="shared" si="32"/>
        <v>0</v>
      </c>
      <c r="AA102" s="15">
        <f t="shared" si="32"/>
        <v>0</v>
      </c>
      <c r="AB102" s="15">
        <f t="shared" si="33"/>
        <v>0</v>
      </c>
      <c r="AC102" s="15">
        <f t="shared" si="33"/>
        <v>16.7</v>
      </c>
      <c r="AD102" s="15">
        <f t="shared" si="34"/>
        <v>16.7</v>
      </c>
      <c r="AE102" s="232"/>
    </row>
    <row r="103" spans="1:31" ht="84" customHeight="1">
      <c r="A103" s="249"/>
      <c r="B103" s="246"/>
      <c r="C103" s="220"/>
      <c r="D103" s="222"/>
      <c r="E103" s="223"/>
      <c r="F103" s="222"/>
      <c r="G103" s="49">
        <v>12</v>
      </c>
      <c r="H103" s="46" t="s">
        <v>206</v>
      </c>
      <c r="I103" s="222"/>
      <c r="J103" s="15"/>
      <c r="K103" s="15"/>
      <c r="L103" s="15"/>
      <c r="M103" s="15"/>
      <c r="N103" s="15"/>
      <c r="O103" s="15">
        <v>1</v>
      </c>
      <c r="P103" s="37"/>
      <c r="Q103" s="15">
        <v>0</v>
      </c>
      <c r="R103" s="43">
        <f t="shared" si="35"/>
        <v>1.67</v>
      </c>
      <c r="S103" s="43">
        <f t="shared" si="36"/>
        <v>3.34</v>
      </c>
      <c r="T103" s="43">
        <f t="shared" si="37"/>
        <v>5.01</v>
      </c>
      <c r="U103" s="43">
        <f t="shared" si="38"/>
        <v>10.02</v>
      </c>
      <c r="V103" s="43">
        <f t="shared" si="39"/>
        <v>16.7</v>
      </c>
      <c r="W103" s="13"/>
      <c r="X103" s="15">
        <f t="shared" si="32"/>
        <v>0</v>
      </c>
      <c r="Y103" s="15">
        <f t="shared" si="32"/>
        <v>0</v>
      </c>
      <c r="Z103" s="15">
        <f t="shared" si="32"/>
        <v>0</v>
      </c>
      <c r="AA103" s="15">
        <f t="shared" si="32"/>
        <v>0</v>
      </c>
      <c r="AB103" s="15">
        <f t="shared" si="33"/>
        <v>0</v>
      </c>
      <c r="AC103" s="15">
        <f t="shared" si="33"/>
        <v>16.7</v>
      </c>
      <c r="AD103" s="15">
        <f t="shared" si="34"/>
        <v>16.7</v>
      </c>
      <c r="AE103" s="232"/>
    </row>
    <row r="104" spans="1:31" ht="79.5" customHeight="1">
      <c r="A104" s="249"/>
      <c r="B104" s="246"/>
      <c r="C104" s="220"/>
      <c r="D104" s="222"/>
      <c r="E104" s="225"/>
      <c r="F104" s="224"/>
      <c r="G104" s="49">
        <v>13</v>
      </c>
      <c r="H104" s="46" t="s">
        <v>210</v>
      </c>
      <c r="I104" s="222"/>
      <c r="J104" s="15"/>
      <c r="K104" s="15"/>
      <c r="L104" s="15"/>
      <c r="M104" s="15"/>
      <c r="N104" s="15"/>
      <c r="O104" s="15">
        <v>1</v>
      </c>
      <c r="P104" s="37"/>
      <c r="Q104" s="15">
        <v>0</v>
      </c>
      <c r="R104" s="45">
        <f>33.3*0.1</f>
        <v>3.33</v>
      </c>
      <c r="S104" s="45">
        <f>33.3*0.2</f>
        <v>6.66</v>
      </c>
      <c r="T104" s="45">
        <f>33.3*0.3</f>
        <v>9.9899999999999984</v>
      </c>
      <c r="U104" s="45">
        <f>33.3*0.6</f>
        <v>19.979999999999997</v>
      </c>
      <c r="V104" s="45">
        <f>33.3*1</f>
        <v>33.299999999999997</v>
      </c>
      <c r="W104" s="13"/>
      <c r="X104" s="15">
        <f t="shared" si="32"/>
        <v>0</v>
      </c>
      <c r="Y104" s="15">
        <f t="shared" si="32"/>
        <v>0</v>
      </c>
      <c r="Z104" s="15">
        <f t="shared" si="32"/>
        <v>0</v>
      </c>
      <c r="AA104" s="15">
        <f t="shared" si="32"/>
        <v>0</v>
      </c>
      <c r="AB104" s="15">
        <f t="shared" si="33"/>
        <v>0</v>
      </c>
      <c r="AC104" s="15">
        <f t="shared" si="33"/>
        <v>33.299999999999997</v>
      </c>
      <c r="AD104" s="15">
        <f t="shared" si="34"/>
        <v>33.299999999999997</v>
      </c>
      <c r="AE104" s="232"/>
    </row>
    <row r="105" spans="1:31" ht="79.5" customHeight="1">
      <c r="A105" s="250"/>
      <c r="B105" s="247"/>
      <c r="C105" s="221"/>
      <c r="D105" s="222"/>
      <c r="E105" s="225"/>
      <c r="F105" s="224"/>
      <c r="G105" s="49">
        <v>14</v>
      </c>
      <c r="H105" s="46" t="s">
        <v>211</v>
      </c>
      <c r="I105" s="222"/>
      <c r="J105" s="15"/>
      <c r="K105" s="15"/>
      <c r="L105" s="15"/>
      <c r="M105" s="15"/>
      <c r="N105" s="15"/>
      <c r="O105" s="15">
        <v>1</v>
      </c>
      <c r="P105" s="37"/>
      <c r="Q105" s="15">
        <v>0</v>
      </c>
      <c r="R105" s="45">
        <f>33.3*0.1</f>
        <v>3.33</v>
      </c>
      <c r="S105" s="45">
        <f>33.3*0.2</f>
        <v>6.66</v>
      </c>
      <c r="T105" s="45">
        <f>33.3*0.3</f>
        <v>9.9899999999999984</v>
      </c>
      <c r="U105" s="45">
        <f>33.3*0.6</f>
        <v>19.979999999999997</v>
      </c>
      <c r="V105" s="45">
        <f>33.3*1</f>
        <v>33.299999999999997</v>
      </c>
      <c r="W105" s="13"/>
      <c r="X105" s="15">
        <f t="shared" si="32"/>
        <v>0</v>
      </c>
      <c r="Y105" s="15">
        <f t="shared" si="32"/>
        <v>0</v>
      </c>
      <c r="Z105" s="15">
        <f t="shared" si="32"/>
        <v>0</v>
      </c>
      <c r="AA105" s="15">
        <f t="shared" si="32"/>
        <v>0</v>
      </c>
      <c r="AB105" s="15">
        <f t="shared" si="33"/>
        <v>0</v>
      </c>
      <c r="AC105" s="15">
        <f t="shared" si="33"/>
        <v>33.299999999999997</v>
      </c>
      <c r="AD105" s="15">
        <f t="shared" si="34"/>
        <v>33.299999999999997</v>
      </c>
      <c r="AE105" s="232"/>
    </row>
    <row r="106" spans="1:31" ht="147" customHeight="1">
      <c r="A106" s="57">
        <v>8</v>
      </c>
      <c r="B106" s="50" t="s">
        <v>207</v>
      </c>
      <c r="C106" s="17"/>
      <c r="D106" s="46" t="s">
        <v>41</v>
      </c>
      <c r="E106" s="49"/>
      <c r="F106" s="46" t="s">
        <v>212</v>
      </c>
      <c r="G106" s="49">
        <v>1</v>
      </c>
      <c r="H106" s="46" t="s">
        <v>213</v>
      </c>
      <c r="I106" s="46" t="s">
        <v>292</v>
      </c>
      <c r="J106" s="15"/>
      <c r="K106" s="15"/>
      <c r="L106" s="15"/>
      <c r="M106" s="15"/>
      <c r="N106" s="15"/>
      <c r="O106" s="15">
        <v>1</v>
      </c>
      <c r="P106" s="37"/>
      <c r="Q106" s="15">
        <v>0</v>
      </c>
      <c r="R106" s="45">
        <f>33.4*0.1</f>
        <v>3.34</v>
      </c>
      <c r="S106" s="45">
        <f>33.4*0.2</f>
        <v>6.68</v>
      </c>
      <c r="T106" s="45">
        <f>33.4*0.3</f>
        <v>10.02</v>
      </c>
      <c r="U106" s="45">
        <f>33.4*0.6</f>
        <v>20.04</v>
      </c>
      <c r="V106" s="45">
        <f>33.4*1</f>
        <v>33.4</v>
      </c>
      <c r="W106" s="13"/>
      <c r="X106" s="15">
        <f t="shared" si="32"/>
        <v>0</v>
      </c>
      <c r="Y106" s="15">
        <f t="shared" si="32"/>
        <v>0</v>
      </c>
      <c r="Z106" s="15">
        <f t="shared" si="32"/>
        <v>0</v>
      </c>
      <c r="AA106" s="15">
        <f t="shared" si="32"/>
        <v>0</v>
      </c>
      <c r="AB106" s="15">
        <f t="shared" si="33"/>
        <v>0</v>
      </c>
      <c r="AC106" s="15">
        <f t="shared" si="33"/>
        <v>33.4</v>
      </c>
      <c r="AD106" s="15">
        <f t="shared" si="34"/>
        <v>33.4</v>
      </c>
      <c r="AE106" s="52">
        <f>SUM(AD106)</f>
        <v>33.4</v>
      </c>
    </row>
    <row r="107" spans="1:31" ht="201" customHeight="1">
      <c r="A107" s="57">
        <v>9</v>
      </c>
      <c r="B107" s="42" t="s">
        <v>214</v>
      </c>
      <c r="C107" s="17"/>
      <c r="D107" s="46" t="s">
        <v>215</v>
      </c>
      <c r="E107" s="49"/>
      <c r="F107" s="46" t="s">
        <v>216</v>
      </c>
      <c r="G107" s="49">
        <v>1</v>
      </c>
      <c r="H107" s="46" t="s">
        <v>263</v>
      </c>
      <c r="I107" s="46" t="s">
        <v>291</v>
      </c>
      <c r="J107" s="15"/>
      <c r="K107" s="15"/>
      <c r="L107" s="15"/>
      <c r="M107" s="15"/>
      <c r="N107" s="15"/>
      <c r="O107" s="15">
        <v>1</v>
      </c>
      <c r="P107" s="37"/>
      <c r="Q107" s="15">
        <v>0</v>
      </c>
      <c r="R107" s="45">
        <f>60*0.1</f>
        <v>6</v>
      </c>
      <c r="S107" s="45">
        <f>60*0.2</f>
        <v>12</v>
      </c>
      <c r="T107" s="45">
        <f>60*0.3</f>
        <v>18</v>
      </c>
      <c r="U107" s="45">
        <f>60*0.6</f>
        <v>36</v>
      </c>
      <c r="V107" s="45">
        <f>60*1</f>
        <v>60</v>
      </c>
      <c r="W107" s="13"/>
      <c r="X107" s="15">
        <f t="shared" si="32"/>
        <v>0</v>
      </c>
      <c r="Y107" s="15">
        <f t="shared" si="32"/>
        <v>0</v>
      </c>
      <c r="Z107" s="15">
        <f t="shared" si="32"/>
        <v>0</v>
      </c>
      <c r="AA107" s="15">
        <f t="shared" si="32"/>
        <v>0</v>
      </c>
      <c r="AB107" s="15">
        <f t="shared" si="33"/>
        <v>0</v>
      </c>
      <c r="AC107" s="15">
        <f t="shared" si="33"/>
        <v>60</v>
      </c>
      <c r="AD107" s="15">
        <f t="shared" si="34"/>
        <v>60</v>
      </c>
      <c r="AE107" s="52">
        <f>SUM(AD107)</f>
        <v>60</v>
      </c>
    </row>
    <row r="108" spans="1:31" ht="113.25" customHeight="1">
      <c r="A108" s="240">
        <v>10</v>
      </c>
      <c r="B108" s="237" t="s">
        <v>217</v>
      </c>
      <c r="C108" s="219"/>
      <c r="D108" s="216" t="s">
        <v>264</v>
      </c>
      <c r="E108" s="219"/>
      <c r="F108" s="216" t="s">
        <v>265</v>
      </c>
      <c r="G108" s="49">
        <v>1</v>
      </c>
      <c r="H108" s="46" t="s">
        <v>266</v>
      </c>
      <c r="I108" s="222" t="s">
        <v>290</v>
      </c>
      <c r="J108" s="15"/>
      <c r="K108" s="15"/>
      <c r="L108" s="15"/>
      <c r="M108" s="15"/>
      <c r="N108" s="15"/>
      <c r="O108" s="15">
        <v>1</v>
      </c>
      <c r="P108" s="37"/>
      <c r="Q108" s="15">
        <v>0</v>
      </c>
      <c r="R108" s="45">
        <f>20*0.1</f>
        <v>2</v>
      </c>
      <c r="S108" s="45">
        <f>20*0.2</f>
        <v>4</v>
      </c>
      <c r="T108" s="45">
        <f>20*0.3</f>
        <v>6</v>
      </c>
      <c r="U108" s="45">
        <f>20*0.6</f>
        <v>12</v>
      </c>
      <c r="V108" s="45">
        <f>20*1</f>
        <v>20</v>
      </c>
      <c r="W108" s="13"/>
      <c r="X108" s="15">
        <f t="shared" si="32"/>
        <v>0</v>
      </c>
      <c r="Y108" s="15">
        <f t="shared" si="32"/>
        <v>0</v>
      </c>
      <c r="Z108" s="15">
        <f t="shared" si="32"/>
        <v>0</v>
      </c>
      <c r="AA108" s="15">
        <f t="shared" si="32"/>
        <v>0</v>
      </c>
      <c r="AB108" s="15">
        <f t="shared" si="33"/>
        <v>0</v>
      </c>
      <c r="AC108" s="15">
        <f t="shared" si="33"/>
        <v>20</v>
      </c>
      <c r="AD108" s="15">
        <f t="shared" si="34"/>
        <v>20</v>
      </c>
      <c r="AE108" s="232">
        <f>SUM(AD108:AD127)</f>
        <v>400</v>
      </c>
    </row>
    <row r="109" spans="1:31" ht="74.25" customHeight="1">
      <c r="A109" s="241"/>
      <c r="B109" s="238"/>
      <c r="C109" s="220"/>
      <c r="D109" s="217"/>
      <c r="E109" s="220"/>
      <c r="F109" s="217"/>
      <c r="G109" s="49">
        <v>2</v>
      </c>
      <c r="H109" s="46" t="s">
        <v>267</v>
      </c>
      <c r="I109" s="222"/>
      <c r="J109" s="15"/>
      <c r="K109" s="15"/>
      <c r="L109" s="15"/>
      <c r="M109" s="15"/>
      <c r="N109" s="15"/>
      <c r="O109" s="15">
        <v>1</v>
      </c>
      <c r="P109" s="37"/>
      <c r="Q109" s="15">
        <v>0</v>
      </c>
      <c r="R109" s="45">
        <f t="shared" ref="R109:R127" si="40">20*0.1</f>
        <v>2</v>
      </c>
      <c r="S109" s="45">
        <f t="shared" ref="S109:S127" si="41">20*0.2</f>
        <v>4</v>
      </c>
      <c r="T109" s="45">
        <f t="shared" ref="T109:T127" si="42">20*0.3</f>
        <v>6</v>
      </c>
      <c r="U109" s="45">
        <f t="shared" ref="U109:U127" si="43">20*0.6</f>
        <v>12</v>
      </c>
      <c r="V109" s="45">
        <f t="shared" ref="V109:V127" si="44">20*1</f>
        <v>20</v>
      </c>
      <c r="W109" s="13"/>
      <c r="X109" s="15">
        <f t="shared" si="32"/>
        <v>0</v>
      </c>
      <c r="Y109" s="15">
        <f t="shared" si="32"/>
        <v>0</v>
      </c>
      <c r="Z109" s="15">
        <f t="shared" si="32"/>
        <v>0</v>
      </c>
      <c r="AA109" s="15">
        <f t="shared" si="32"/>
        <v>0</v>
      </c>
      <c r="AB109" s="15">
        <f t="shared" si="33"/>
        <v>0</v>
      </c>
      <c r="AC109" s="15">
        <f t="shared" si="33"/>
        <v>20</v>
      </c>
      <c r="AD109" s="15">
        <f t="shared" si="34"/>
        <v>20</v>
      </c>
      <c r="AE109" s="232"/>
    </row>
    <row r="110" spans="1:31" ht="54" customHeight="1">
      <c r="A110" s="241"/>
      <c r="B110" s="238"/>
      <c r="C110" s="220"/>
      <c r="D110" s="217"/>
      <c r="E110" s="220"/>
      <c r="F110" s="217"/>
      <c r="G110" s="49">
        <v>3</v>
      </c>
      <c r="H110" s="46" t="s">
        <v>268</v>
      </c>
      <c r="I110" s="222"/>
      <c r="J110" s="15"/>
      <c r="K110" s="15"/>
      <c r="L110" s="15"/>
      <c r="M110" s="15"/>
      <c r="N110" s="15"/>
      <c r="O110" s="15">
        <v>1</v>
      </c>
      <c r="P110" s="37"/>
      <c r="Q110" s="15">
        <v>0</v>
      </c>
      <c r="R110" s="45">
        <f t="shared" si="40"/>
        <v>2</v>
      </c>
      <c r="S110" s="45">
        <f t="shared" si="41"/>
        <v>4</v>
      </c>
      <c r="T110" s="45">
        <f t="shared" si="42"/>
        <v>6</v>
      </c>
      <c r="U110" s="45">
        <f t="shared" si="43"/>
        <v>12</v>
      </c>
      <c r="V110" s="45">
        <f t="shared" si="44"/>
        <v>20</v>
      </c>
      <c r="W110" s="13"/>
      <c r="X110" s="15">
        <f t="shared" si="32"/>
        <v>0</v>
      </c>
      <c r="Y110" s="15">
        <f t="shared" si="32"/>
        <v>0</v>
      </c>
      <c r="Z110" s="15">
        <f t="shared" si="32"/>
        <v>0</v>
      </c>
      <c r="AA110" s="15">
        <f t="shared" si="32"/>
        <v>0</v>
      </c>
      <c r="AB110" s="15">
        <f t="shared" si="33"/>
        <v>0</v>
      </c>
      <c r="AC110" s="15">
        <f t="shared" si="33"/>
        <v>20</v>
      </c>
      <c r="AD110" s="15">
        <f t="shared" si="34"/>
        <v>20</v>
      </c>
      <c r="AE110" s="232"/>
    </row>
    <row r="111" spans="1:31" ht="76.5" customHeight="1">
      <c r="A111" s="241"/>
      <c r="B111" s="238"/>
      <c r="C111" s="221"/>
      <c r="D111" s="218"/>
      <c r="E111" s="221"/>
      <c r="F111" s="218"/>
      <c r="G111" s="49">
        <v>4</v>
      </c>
      <c r="H111" s="46" t="s">
        <v>269</v>
      </c>
      <c r="I111" s="222"/>
      <c r="J111" s="15"/>
      <c r="K111" s="15"/>
      <c r="L111" s="15"/>
      <c r="M111" s="15"/>
      <c r="N111" s="15"/>
      <c r="O111" s="15">
        <v>1</v>
      </c>
      <c r="P111" s="37"/>
      <c r="Q111" s="15">
        <v>0</v>
      </c>
      <c r="R111" s="45">
        <f t="shared" si="40"/>
        <v>2</v>
      </c>
      <c r="S111" s="45">
        <f t="shared" si="41"/>
        <v>4</v>
      </c>
      <c r="T111" s="45">
        <f t="shared" si="42"/>
        <v>6</v>
      </c>
      <c r="U111" s="45">
        <f t="shared" si="43"/>
        <v>12</v>
      </c>
      <c r="V111" s="45">
        <f t="shared" si="44"/>
        <v>20</v>
      </c>
      <c r="W111" s="13"/>
      <c r="X111" s="15">
        <f t="shared" si="32"/>
        <v>0</v>
      </c>
      <c r="Y111" s="15">
        <f t="shared" si="32"/>
        <v>0</v>
      </c>
      <c r="Z111" s="15">
        <f t="shared" si="32"/>
        <v>0</v>
      </c>
      <c r="AA111" s="15">
        <f t="shared" si="32"/>
        <v>0</v>
      </c>
      <c r="AB111" s="15">
        <f t="shared" si="33"/>
        <v>0</v>
      </c>
      <c r="AC111" s="15">
        <f t="shared" si="33"/>
        <v>20</v>
      </c>
      <c r="AD111" s="15">
        <f t="shared" si="34"/>
        <v>20</v>
      </c>
      <c r="AE111" s="232"/>
    </row>
    <row r="112" spans="1:31" ht="69" customHeight="1">
      <c r="A112" s="241"/>
      <c r="B112" s="238"/>
      <c r="C112" s="219"/>
      <c r="D112" s="216" t="s">
        <v>208</v>
      </c>
      <c r="E112" s="219"/>
      <c r="F112" s="216" t="s">
        <v>209</v>
      </c>
      <c r="G112" s="49">
        <v>5</v>
      </c>
      <c r="H112" s="46" t="s">
        <v>270</v>
      </c>
      <c r="I112" s="222"/>
      <c r="J112" s="15"/>
      <c r="K112" s="15"/>
      <c r="L112" s="15"/>
      <c r="M112" s="15"/>
      <c r="N112" s="15"/>
      <c r="O112" s="15">
        <v>1</v>
      </c>
      <c r="P112" s="37"/>
      <c r="Q112" s="15">
        <v>0</v>
      </c>
      <c r="R112" s="45">
        <f t="shared" si="40"/>
        <v>2</v>
      </c>
      <c r="S112" s="45">
        <f t="shared" si="41"/>
        <v>4</v>
      </c>
      <c r="T112" s="45">
        <f t="shared" si="42"/>
        <v>6</v>
      </c>
      <c r="U112" s="45">
        <f t="shared" si="43"/>
        <v>12</v>
      </c>
      <c r="V112" s="45">
        <f t="shared" si="44"/>
        <v>20</v>
      </c>
      <c r="W112" s="13"/>
      <c r="X112" s="15">
        <f t="shared" si="32"/>
        <v>0</v>
      </c>
      <c r="Y112" s="15">
        <f t="shared" si="32"/>
        <v>0</v>
      </c>
      <c r="Z112" s="15">
        <f t="shared" si="32"/>
        <v>0</v>
      </c>
      <c r="AA112" s="15">
        <f t="shared" si="32"/>
        <v>0</v>
      </c>
      <c r="AB112" s="15">
        <f t="shared" si="33"/>
        <v>0</v>
      </c>
      <c r="AC112" s="15">
        <f t="shared" si="33"/>
        <v>20</v>
      </c>
      <c r="AD112" s="15">
        <f t="shared" si="34"/>
        <v>20</v>
      </c>
      <c r="AE112" s="232"/>
    </row>
    <row r="113" spans="1:31" ht="135" customHeight="1">
      <c r="A113" s="241"/>
      <c r="B113" s="238"/>
      <c r="C113" s="220"/>
      <c r="D113" s="217"/>
      <c r="E113" s="220"/>
      <c r="F113" s="217"/>
      <c r="G113" s="49">
        <v>6</v>
      </c>
      <c r="H113" s="46" t="s">
        <v>271</v>
      </c>
      <c r="I113" s="222"/>
      <c r="J113" s="15"/>
      <c r="K113" s="15"/>
      <c r="L113" s="15"/>
      <c r="M113" s="15"/>
      <c r="N113" s="15"/>
      <c r="O113" s="15">
        <v>1</v>
      </c>
      <c r="P113" s="37"/>
      <c r="Q113" s="15">
        <v>0</v>
      </c>
      <c r="R113" s="45">
        <f t="shared" si="40"/>
        <v>2</v>
      </c>
      <c r="S113" s="45">
        <f t="shared" si="41"/>
        <v>4</v>
      </c>
      <c r="T113" s="45">
        <f t="shared" si="42"/>
        <v>6</v>
      </c>
      <c r="U113" s="45">
        <f t="shared" si="43"/>
        <v>12</v>
      </c>
      <c r="V113" s="45">
        <f t="shared" si="44"/>
        <v>20</v>
      </c>
      <c r="W113" s="13"/>
      <c r="X113" s="15">
        <f t="shared" si="32"/>
        <v>0</v>
      </c>
      <c r="Y113" s="15">
        <f t="shared" si="32"/>
        <v>0</v>
      </c>
      <c r="Z113" s="15">
        <f t="shared" si="32"/>
        <v>0</v>
      </c>
      <c r="AA113" s="15">
        <f t="shared" si="32"/>
        <v>0</v>
      </c>
      <c r="AB113" s="15">
        <f t="shared" si="33"/>
        <v>0</v>
      </c>
      <c r="AC113" s="15">
        <f t="shared" si="33"/>
        <v>20</v>
      </c>
      <c r="AD113" s="15">
        <f t="shared" si="34"/>
        <v>20</v>
      </c>
      <c r="AE113" s="232"/>
    </row>
    <row r="114" spans="1:31" ht="73.5" customHeight="1">
      <c r="A114" s="241"/>
      <c r="B114" s="238"/>
      <c r="C114" s="220"/>
      <c r="D114" s="217"/>
      <c r="E114" s="220"/>
      <c r="F114" s="217"/>
      <c r="G114" s="49">
        <v>7</v>
      </c>
      <c r="H114" s="46" t="s">
        <v>272</v>
      </c>
      <c r="I114" s="222"/>
      <c r="J114" s="15"/>
      <c r="K114" s="15"/>
      <c r="L114" s="15"/>
      <c r="M114" s="15"/>
      <c r="N114" s="15"/>
      <c r="O114" s="15">
        <v>1</v>
      </c>
      <c r="P114" s="37"/>
      <c r="Q114" s="15">
        <v>0</v>
      </c>
      <c r="R114" s="45">
        <f t="shared" si="40"/>
        <v>2</v>
      </c>
      <c r="S114" s="45">
        <f t="shared" si="41"/>
        <v>4</v>
      </c>
      <c r="T114" s="45">
        <f t="shared" si="42"/>
        <v>6</v>
      </c>
      <c r="U114" s="45">
        <f t="shared" si="43"/>
        <v>12</v>
      </c>
      <c r="V114" s="45">
        <f t="shared" si="44"/>
        <v>20</v>
      </c>
      <c r="W114" s="13"/>
      <c r="X114" s="15">
        <f t="shared" si="32"/>
        <v>0</v>
      </c>
      <c r="Y114" s="15">
        <f t="shared" si="32"/>
        <v>0</v>
      </c>
      <c r="Z114" s="15">
        <f t="shared" si="32"/>
        <v>0</v>
      </c>
      <c r="AA114" s="15">
        <f t="shared" si="32"/>
        <v>0</v>
      </c>
      <c r="AB114" s="15">
        <f t="shared" si="33"/>
        <v>0</v>
      </c>
      <c r="AC114" s="15">
        <f t="shared" si="33"/>
        <v>20</v>
      </c>
      <c r="AD114" s="15">
        <f t="shared" si="34"/>
        <v>20</v>
      </c>
      <c r="AE114" s="232"/>
    </row>
    <row r="115" spans="1:31" ht="123.75" customHeight="1">
      <c r="A115" s="241"/>
      <c r="B115" s="238"/>
      <c r="C115" s="221"/>
      <c r="D115" s="218"/>
      <c r="E115" s="221"/>
      <c r="F115" s="218"/>
      <c r="G115" s="49">
        <v>8</v>
      </c>
      <c r="H115" s="46" t="s">
        <v>273</v>
      </c>
      <c r="I115" s="222"/>
      <c r="J115" s="15"/>
      <c r="K115" s="15"/>
      <c r="L115" s="15"/>
      <c r="M115" s="15"/>
      <c r="N115" s="15"/>
      <c r="O115" s="15">
        <v>1</v>
      </c>
      <c r="P115" s="37"/>
      <c r="Q115" s="15">
        <v>0</v>
      </c>
      <c r="R115" s="45">
        <f t="shared" si="40"/>
        <v>2</v>
      </c>
      <c r="S115" s="45">
        <f t="shared" si="41"/>
        <v>4</v>
      </c>
      <c r="T115" s="45">
        <f t="shared" si="42"/>
        <v>6</v>
      </c>
      <c r="U115" s="45">
        <f t="shared" si="43"/>
        <v>12</v>
      </c>
      <c r="V115" s="45">
        <f t="shared" si="44"/>
        <v>20</v>
      </c>
      <c r="W115" s="13"/>
      <c r="X115" s="15">
        <f t="shared" si="32"/>
        <v>0</v>
      </c>
      <c r="Y115" s="15">
        <f t="shared" si="32"/>
        <v>0</v>
      </c>
      <c r="Z115" s="15">
        <f t="shared" si="32"/>
        <v>0</v>
      </c>
      <c r="AA115" s="15">
        <f t="shared" si="32"/>
        <v>0</v>
      </c>
      <c r="AB115" s="15">
        <f t="shared" si="33"/>
        <v>0</v>
      </c>
      <c r="AC115" s="15">
        <f t="shared" si="33"/>
        <v>20</v>
      </c>
      <c r="AD115" s="15">
        <f t="shared" si="34"/>
        <v>20</v>
      </c>
      <c r="AE115" s="232"/>
    </row>
    <row r="116" spans="1:31" ht="69" customHeight="1">
      <c r="A116" s="241"/>
      <c r="B116" s="238"/>
      <c r="C116" s="36"/>
      <c r="D116" s="46" t="s">
        <v>215</v>
      </c>
      <c r="E116" s="49"/>
      <c r="F116" s="46" t="s">
        <v>216</v>
      </c>
      <c r="G116" s="49">
        <v>9</v>
      </c>
      <c r="H116" s="46" t="s">
        <v>274</v>
      </c>
      <c r="I116" s="222"/>
      <c r="J116" s="15"/>
      <c r="K116" s="15"/>
      <c r="L116" s="15"/>
      <c r="M116" s="15"/>
      <c r="N116" s="15"/>
      <c r="O116" s="15">
        <v>1</v>
      </c>
      <c r="P116" s="37"/>
      <c r="Q116" s="15">
        <v>0</v>
      </c>
      <c r="R116" s="45">
        <f t="shared" si="40"/>
        <v>2</v>
      </c>
      <c r="S116" s="45">
        <f t="shared" si="41"/>
        <v>4</v>
      </c>
      <c r="T116" s="45">
        <f t="shared" si="42"/>
        <v>6</v>
      </c>
      <c r="U116" s="45">
        <f t="shared" si="43"/>
        <v>12</v>
      </c>
      <c r="V116" s="45">
        <f t="shared" si="44"/>
        <v>20</v>
      </c>
      <c r="W116" s="13"/>
      <c r="X116" s="15">
        <f t="shared" si="32"/>
        <v>0</v>
      </c>
      <c r="Y116" s="15">
        <f t="shared" si="32"/>
        <v>0</v>
      </c>
      <c r="Z116" s="15">
        <f t="shared" si="32"/>
        <v>0</v>
      </c>
      <c r="AA116" s="15">
        <f t="shared" si="32"/>
        <v>0</v>
      </c>
      <c r="AB116" s="15">
        <f t="shared" si="33"/>
        <v>0</v>
      </c>
      <c r="AC116" s="15">
        <f t="shared" si="33"/>
        <v>20</v>
      </c>
      <c r="AD116" s="15">
        <f t="shared" si="34"/>
        <v>20</v>
      </c>
      <c r="AE116" s="232"/>
    </row>
    <row r="117" spans="1:31" ht="69" customHeight="1">
      <c r="A117" s="241"/>
      <c r="B117" s="238"/>
      <c r="C117" s="219"/>
      <c r="D117" s="216" t="s">
        <v>218</v>
      </c>
      <c r="E117" s="219"/>
      <c r="F117" s="216" t="s">
        <v>219</v>
      </c>
      <c r="G117" s="49">
        <v>10</v>
      </c>
      <c r="H117" s="46" t="s">
        <v>275</v>
      </c>
      <c r="I117" s="222"/>
      <c r="J117" s="15"/>
      <c r="K117" s="15"/>
      <c r="L117" s="15"/>
      <c r="M117" s="15"/>
      <c r="N117" s="15"/>
      <c r="O117" s="15">
        <v>1</v>
      </c>
      <c r="P117" s="37"/>
      <c r="Q117" s="15">
        <v>0</v>
      </c>
      <c r="R117" s="45">
        <f t="shared" si="40"/>
        <v>2</v>
      </c>
      <c r="S117" s="45">
        <f t="shared" si="41"/>
        <v>4</v>
      </c>
      <c r="T117" s="45">
        <f t="shared" si="42"/>
        <v>6</v>
      </c>
      <c r="U117" s="45">
        <f t="shared" si="43"/>
        <v>12</v>
      </c>
      <c r="V117" s="45">
        <f t="shared" si="44"/>
        <v>20</v>
      </c>
      <c r="W117" s="13"/>
      <c r="X117" s="15">
        <f t="shared" si="32"/>
        <v>0</v>
      </c>
      <c r="Y117" s="15">
        <f t="shared" si="32"/>
        <v>0</v>
      </c>
      <c r="Z117" s="15">
        <f t="shared" si="32"/>
        <v>0</v>
      </c>
      <c r="AA117" s="15">
        <f t="shared" si="32"/>
        <v>0</v>
      </c>
      <c r="AB117" s="15">
        <f t="shared" si="33"/>
        <v>0</v>
      </c>
      <c r="AC117" s="15">
        <f t="shared" si="33"/>
        <v>20</v>
      </c>
      <c r="AD117" s="15">
        <f t="shared" si="34"/>
        <v>20</v>
      </c>
      <c r="AE117" s="232"/>
    </row>
    <row r="118" spans="1:31" ht="64.5" customHeight="1">
      <c r="A118" s="241"/>
      <c r="B118" s="238"/>
      <c r="C118" s="220"/>
      <c r="D118" s="217"/>
      <c r="E118" s="220"/>
      <c r="F118" s="217"/>
      <c r="G118" s="49">
        <v>11</v>
      </c>
      <c r="H118" s="46" t="s">
        <v>276</v>
      </c>
      <c r="I118" s="222"/>
      <c r="J118" s="15"/>
      <c r="K118" s="15"/>
      <c r="L118" s="15"/>
      <c r="M118" s="15"/>
      <c r="N118" s="15"/>
      <c r="O118" s="15">
        <v>1</v>
      </c>
      <c r="P118" s="37"/>
      <c r="Q118" s="15">
        <v>0</v>
      </c>
      <c r="R118" s="45">
        <f t="shared" si="40"/>
        <v>2</v>
      </c>
      <c r="S118" s="45">
        <f t="shared" si="41"/>
        <v>4</v>
      </c>
      <c r="T118" s="45">
        <f t="shared" si="42"/>
        <v>6</v>
      </c>
      <c r="U118" s="45">
        <f t="shared" si="43"/>
        <v>12</v>
      </c>
      <c r="V118" s="45">
        <f t="shared" si="44"/>
        <v>20</v>
      </c>
      <c r="W118" s="13"/>
      <c r="X118" s="15">
        <f t="shared" si="32"/>
        <v>0</v>
      </c>
      <c r="Y118" s="15">
        <f t="shared" si="32"/>
        <v>0</v>
      </c>
      <c r="Z118" s="15">
        <f t="shared" si="32"/>
        <v>0</v>
      </c>
      <c r="AA118" s="15">
        <f t="shared" si="32"/>
        <v>0</v>
      </c>
      <c r="AB118" s="15">
        <f t="shared" si="33"/>
        <v>0</v>
      </c>
      <c r="AC118" s="15">
        <f t="shared" si="33"/>
        <v>20</v>
      </c>
      <c r="AD118" s="15">
        <f t="shared" si="34"/>
        <v>20</v>
      </c>
      <c r="AE118" s="232"/>
    </row>
    <row r="119" spans="1:31" ht="127.5" customHeight="1">
      <c r="A119" s="241"/>
      <c r="B119" s="238"/>
      <c r="C119" s="220"/>
      <c r="D119" s="217"/>
      <c r="E119" s="220"/>
      <c r="F119" s="217"/>
      <c r="G119" s="49">
        <v>12</v>
      </c>
      <c r="H119" s="46" t="s">
        <v>277</v>
      </c>
      <c r="I119" s="222"/>
      <c r="J119" s="15"/>
      <c r="K119" s="15"/>
      <c r="L119" s="15"/>
      <c r="M119" s="15"/>
      <c r="N119" s="15"/>
      <c r="O119" s="15">
        <v>1</v>
      </c>
      <c r="P119" s="37"/>
      <c r="Q119" s="15">
        <v>0</v>
      </c>
      <c r="R119" s="45">
        <f t="shared" si="40"/>
        <v>2</v>
      </c>
      <c r="S119" s="45">
        <f t="shared" si="41"/>
        <v>4</v>
      </c>
      <c r="T119" s="45">
        <f t="shared" si="42"/>
        <v>6</v>
      </c>
      <c r="U119" s="45">
        <f t="shared" si="43"/>
        <v>12</v>
      </c>
      <c r="V119" s="45">
        <f t="shared" si="44"/>
        <v>20</v>
      </c>
      <c r="W119" s="13"/>
      <c r="X119" s="15">
        <f t="shared" si="32"/>
        <v>0</v>
      </c>
      <c r="Y119" s="15">
        <f t="shared" si="32"/>
        <v>0</v>
      </c>
      <c r="Z119" s="15">
        <f t="shared" si="32"/>
        <v>0</v>
      </c>
      <c r="AA119" s="15">
        <f t="shared" si="32"/>
        <v>0</v>
      </c>
      <c r="AB119" s="15">
        <f t="shared" si="33"/>
        <v>0</v>
      </c>
      <c r="AC119" s="15">
        <f t="shared" si="33"/>
        <v>20</v>
      </c>
      <c r="AD119" s="15">
        <f t="shared" si="34"/>
        <v>20</v>
      </c>
      <c r="AE119" s="232"/>
    </row>
    <row r="120" spans="1:31" ht="64.5" customHeight="1">
      <c r="A120" s="241"/>
      <c r="B120" s="238"/>
      <c r="C120" s="220"/>
      <c r="D120" s="217"/>
      <c r="E120" s="220"/>
      <c r="F120" s="217"/>
      <c r="G120" s="49">
        <v>13</v>
      </c>
      <c r="H120" s="46" t="s">
        <v>220</v>
      </c>
      <c r="I120" s="222"/>
      <c r="J120" s="15"/>
      <c r="K120" s="15"/>
      <c r="L120" s="15"/>
      <c r="M120" s="15"/>
      <c r="N120" s="15"/>
      <c r="O120" s="15">
        <v>1</v>
      </c>
      <c r="P120" s="37"/>
      <c r="Q120" s="15">
        <v>0</v>
      </c>
      <c r="R120" s="45">
        <f t="shared" si="40"/>
        <v>2</v>
      </c>
      <c r="S120" s="45">
        <f t="shared" si="41"/>
        <v>4</v>
      </c>
      <c r="T120" s="45">
        <f t="shared" si="42"/>
        <v>6</v>
      </c>
      <c r="U120" s="45">
        <f t="shared" si="43"/>
        <v>12</v>
      </c>
      <c r="V120" s="45">
        <f t="shared" si="44"/>
        <v>20</v>
      </c>
      <c r="W120" s="13"/>
      <c r="X120" s="15">
        <f t="shared" si="32"/>
        <v>0</v>
      </c>
      <c r="Y120" s="15">
        <f t="shared" si="32"/>
        <v>0</v>
      </c>
      <c r="Z120" s="15">
        <f t="shared" si="32"/>
        <v>0</v>
      </c>
      <c r="AA120" s="15">
        <f t="shared" si="32"/>
        <v>0</v>
      </c>
      <c r="AB120" s="15">
        <f t="shared" si="33"/>
        <v>0</v>
      </c>
      <c r="AC120" s="15">
        <f t="shared" si="33"/>
        <v>20</v>
      </c>
      <c r="AD120" s="15">
        <f t="shared" si="34"/>
        <v>20</v>
      </c>
      <c r="AE120" s="232"/>
    </row>
    <row r="121" spans="1:31" ht="99.75" customHeight="1">
      <c r="A121" s="241"/>
      <c r="B121" s="238"/>
      <c r="C121" s="220"/>
      <c r="D121" s="217"/>
      <c r="E121" s="220"/>
      <c r="F121" s="217"/>
      <c r="G121" s="49">
        <v>14</v>
      </c>
      <c r="H121" s="46" t="s">
        <v>278</v>
      </c>
      <c r="I121" s="222"/>
      <c r="J121" s="15"/>
      <c r="K121" s="15"/>
      <c r="L121" s="15"/>
      <c r="M121" s="15"/>
      <c r="N121" s="15"/>
      <c r="O121" s="15">
        <v>1</v>
      </c>
      <c r="P121" s="37"/>
      <c r="Q121" s="15">
        <v>0</v>
      </c>
      <c r="R121" s="45">
        <f t="shared" si="40"/>
        <v>2</v>
      </c>
      <c r="S121" s="45">
        <f t="shared" si="41"/>
        <v>4</v>
      </c>
      <c r="T121" s="45">
        <f t="shared" si="42"/>
        <v>6</v>
      </c>
      <c r="U121" s="45">
        <f t="shared" si="43"/>
        <v>12</v>
      </c>
      <c r="V121" s="45">
        <f t="shared" si="44"/>
        <v>20</v>
      </c>
      <c r="W121" s="13"/>
      <c r="X121" s="15">
        <f t="shared" si="32"/>
        <v>0</v>
      </c>
      <c r="Y121" s="15">
        <f t="shared" si="32"/>
        <v>0</v>
      </c>
      <c r="Z121" s="15">
        <f t="shared" si="32"/>
        <v>0</v>
      </c>
      <c r="AA121" s="15">
        <f t="shared" si="32"/>
        <v>0</v>
      </c>
      <c r="AB121" s="15">
        <f t="shared" si="33"/>
        <v>0</v>
      </c>
      <c r="AC121" s="15">
        <f t="shared" si="33"/>
        <v>20</v>
      </c>
      <c r="AD121" s="15">
        <f t="shared" si="34"/>
        <v>20</v>
      </c>
      <c r="AE121" s="232"/>
    </row>
    <row r="122" spans="1:31" ht="107.25" customHeight="1">
      <c r="A122" s="241"/>
      <c r="B122" s="238"/>
      <c r="C122" s="220"/>
      <c r="D122" s="217"/>
      <c r="E122" s="220"/>
      <c r="F122" s="217"/>
      <c r="G122" s="49">
        <v>15</v>
      </c>
      <c r="H122" s="46" t="s">
        <v>279</v>
      </c>
      <c r="I122" s="222"/>
      <c r="J122" s="15"/>
      <c r="K122" s="15"/>
      <c r="L122" s="15"/>
      <c r="M122" s="15"/>
      <c r="N122" s="15"/>
      <c r="O122" s="15">
        <v>1</v>
      </c>
      <c r="P122" s="37"/>
      <c r="Q122" s="15">
        <v>0</v>
      </c>
      <c r="R122" s="45">
        <f t="shared" si="40"/>
        <v>2</v>
      </c>
      <c r="S122" s="45">
        <f t="shared" si="41"/>
        <v>4</v>
      </c>
      <c r="T122" s="45">
        <f t="shared" si="42"/>
        <v>6</v>
      </c>
      <c r="U122" s="45">
        <f t="shared" si="43"/>
        <v>12</v>
      </c>
      <c r="V122" s="45">
        <f t="shared" si="44"/>
        <v>20</v>
      </c>
      <c r="W122" s="13"/>
      <c r="X122" s="15">
        <f t="shared" si="32"/>
        <v>0</v>
      </c>
      <c r="Y122" s="15">
        <f t="shared" si="32"/>
        <v>0</v>
      </c>
      <c r="Z122" s="15">
        <f t="shared" si="32"/>
        <v>0</v>
      </c>
      <c r="AA122" s="15">
        <f t="shared" si="32"/>
        <v>0</v>
      </c>
      <c r="AB122" s="15">
        <f t="shared" si="33"/>
        <v>0</v>
      </c>
      <c r="AC122" s="15">
        <f t="shared" si="33"/>
        <v>20</v>
      </c>
      <c r="AD122" s="15">
        <f t="shared" si="34"/>
        <v>20</v>
      </c>
      <c r="AE122" s="232"/>
    </row>
    <row r="123" spans="1:31" ht="82.5" customHeight="1">
      <c r="A123" s="241"/>
      <c r="B123" s="238"/>
      <c r="C123" s="220"/>
      <c r="D123" s="217"/>
      <c r="E123" s="220"/>
      <c r="F123" s="217"/>
      <c r="G123" s="49">
        <v>16</v>
      </c>
      <c r="H123" s="46" t="s">
        <v>280</v>
      </c>
      <c r="I123" s="222"/>
      <c r="J123" s="15"/>
      <c r="K123" s="15"/>
      <c r="L123" s="15"/>
      <c r="M123" s="15"/>
      <c r="N123" s="15"/>
      <c r="O123" s="15">
        <v>1</v>
      </c>
      <c r="P123" s="37"/>
      <c r="Q123" s="15">
        <v>0</v>
      </c>
      <c r="R123" s="45">
        <f t="shared" si="40"/>
        <v>2</v>
      </c>
      <c r="S123" s="45">
        <f t="shared" si="41"/>
        <v>4</v>
      </c>
      <c r="T123" s="45">
        <f t="shared" si="42"/>
        <v>6</v>
      </c>
      <c r="U123" s="45">
        <f t="shared" si="43"/>
        <v>12</v>
      </c>
      <c r="V123" s="45">
        <f t="shared" si="44"/>
        <v>20</v>
      </c>
      <c r="W123" s="13"/>
      <c r="X123" s="15">
        <f t="shared" si="32"/>
        <v>0</v>
      </c>
      <c r="Y123" s="15">
        <f t="shared" si="32"/>
        <v>0</v>
      </c>
      <c r="Z123" s="15">
        <f t="shared" si="32"/>
        <v>0</v>
      </c>
      <c r="AA123" s="15">
        <f t="shared" si="32"/>
        <v>0</v>
      </c>
      <c r="AB123" s="15">
        <f t="shared" si="33"/>
        <v>0</v>
      </c>
      <c r="AC123" s="15">
        <f t="shared" si="33"/>
        <v>20</v>
      </c>
      <c r="AD123" s="15">
        <f t="shared" si="34"/>
        <v>20</v>
      </c>
      <c r="AE123" s="232"/>
    </row>
    <row r="124" spans="1:31" ht="64.5" customHeight="1">
      <c r="A124" s="241"/>
      <c r="B124" s="238"/>
      <c r="C124" s="221"/>
      <c r="D124" s="218"/>
      <c r="E124" s="221"/>
      <c r="F124" s="218"/>
      <c r="G124" s="49">
        <v>17</v>
      </c>
      <c r="H124" s="46" t="s">
        <v>221</v>
      </c>
      <c r="I124" s="222"/>
      <c r="J124" s="15"/>
      <c r="K124" s="15"/>
      <c r="L124" s="15"/>
      <c r="M124" s="15"/>
      <c r="N124" s="15"/>
      <c r="O124" s="15">
        <v>1</v>
      </c>
      <c r="P124" s="37"/>
      <c r="Q124" s="15">
        <v>0</v>
      </c>
      <c r="R124" s="45">
        <f t="shared" si="40"/>
        <v>2</v>
      </c>
      <c r="S124" s="45">
        <f t="shared" si="41"/>
        <v>4</v>
      </c>
      <c r="T124" s="45">
        <f t="shared" si="42"/>
        <v>6</v>
      </c>
      <c r="U124" s="45">
        <f t="shared" si="43"/>
        <v>12</v>
      </c>
      <c r="V124" s="45">
        <f t="shared" si="44"/>
        <v>20</v>
      </c>
      <c r="W124" s="13"/>
      <c r="X124" s="15">
        <f t="shared" si="32"/>
        <v>0</v>
      </c>
      <c r="Y124" s="15">
        <f t="shared" si="32"/>
        <v>0</v>
      </c>
      <c r="Z124" s="15">
        <f t="shared" si="32"/>
        <v>0</v>
      </c>
      <c r="AA124" s="15">
        <f t="shared" si="32"/>
        <v>0</v>
      </c>
      <c r="AB124" s="15">
        <f t="shared" si="33"/>
        <v>0</v>
      </c>
      <c r="AC124" s="15">
        <f t="shared" si="33"/>
        <v>20</v>
      </c>
      <c r="AD124" s="15">
        <f t="shared" si="34"/>
        <v>20</v>
      </c>
      <c r="AE124" s="232"/>
    </row>
    <row r="125" spans="1:31" ht="120" customHeight="1">
      <c r="A125" s="241"/>
      <c r="B125" s="238"/>
      <c r="C125" s="219"/>
      <c r="D125" s="216" t="s">
        <v>42</v>
      </c>
      <c r="E125" s="219"/>
      <c r="F125" s="216" t="s">
        <v>222</v>
      </c>
      <c r="G125" s="49">
        <v>18</v>
      </c>
      <c r="H125" s="46" t="s">
        <v>281</v>
      </c>
      <c r="I125" s="222" t="s">
        <v>289</v>
      </c>
      <c r="J125" s="15"/>
      <c r="K125" s="15"/>
      <c r="L125" s="15"/>
      <c r="M125" s="15"/>
      <c r="N125" s="15"/>
      <c r="O125" s="15">
        <v>1</v>
      </c>
      <c r="P125" s="37"/>
      <c r="Q125" s="15">
        <v>0</v>
      </c>
      <c r="R125" s="45">
        <f t="shared" si="40"/>
        <v>2</v>
      </c>
      <c r="S125" s="45">
        <f t="shared" si="41"/>
        <v>4</v>
      </c>
      <c r="T125" s="45">
        <f t="shared" si="42"/>
        <v>6</v>
      </c>
      <c r="U125" s="45">
        <f t="shared" si="43"/>
        <v>12</v>
      </c>
      <c r="V125" s="45">
        <f t="shared" si="44"/>
        <v>20</v>
      </c>
      <c r="W125" s="13"/>
      <c r="X125" s="15">
        <f t="shared" si="32"/>
        <v>0</v>
      </c>
      <c r="Y125" s="15">
        <f t="shared" si="32"/>
        <v>0</v>
      </c>
      <c r="Z125" s="15">
        <f t="shared" si="32"/>
        <v>0</v>
      </c>
      <c r="AA125" s="15">
        <f t="shared" si="32"/>
        <v>0</v>
      </c>
      <c r="AB125" s="15">
        <f t="shared" si="33"/>
        <v>0</v>
      </c>
      <c r="AC125" s="15">
        <f t="shared" si="33"/>
        <v>20</v>
      </c>
      <c r="AD125" s="15">
        <f t="shared" si="34"/>
        <v>20</v>
      </c>
      <c r="AE125" s="232"/>
    </row>
    <row r="126" spans="1:31" ht="130.5" customHeight="1">
      <c r="A126" s="241"/>
      <c r="B126" s="238"/>
      <c r="C126" s="220"/>
      <c r="D126" s="217"/>
      <c r="E126" s="220"/>
      <c r="F126" s="217"/>
      <c r="G126" s="49">
        <v>19</v>
      </c>
      <c r="H126" s="46" t="s">
        <v>282</v>
      </c>
      <c r="I126" s="222"/>
      <c r="J126" s="15"/>
      <c r="K126" s="15"/>
      <c r="L126" s="15"/>
      <c r="M126" s="15"/>
      <c r="N126" s="15"/>
      <c r="O126" s="15">
        <v>1</v>
      </c>
      <c r="P126" s="37"/>
      <c r="Q126" s="15">
        <v>0</v>
      </c>
      <c r="R126" s="45">
        <f t="shared" si="40"/>
        <v>2</v>
      </c>
      <c r="S126" s="45">
        <f t="shared" si="41"/>
        <v>4</v>
      </c>
      <c r="T126" s="45">
        <f t="shared" si="42"/>
        <v>6</v>
      </c>
      <c r="U126" s="45">
        <f t="shared" si="43"/>
        <v>12</v>
      </c>
      <c r="V126" s="45">
        <f t="shared" si="44"/>
        <v>20</v>
      </c>
      <c r="W126" s="13"/>
      <c r="X126" s="15">
        <f t="shared" si="32"/>
        <v>0</v>
      </c>
      <c r="Y126" s="15">
        <f t="shared" si="32"/>
        <v>0</v>
      </c>
      <c r="Z126" s="15">
        <f t="shared" si="32"/>
        <v>0</v>
      </c>
      <c r="AA126" s="15">
        <f t="shared" si="32"/>
        <v>0</v>
      </c>
      <c r="AB126" s="15">
        <f t="shared" si="33"/>
        <v>0</v>
      </c>
      <c r="AC126" s="15">
        <f t="shared" si="33"/>
        <v>20</v>
      </c>
      <c r="AD126" s="15">
        <f t="shared" si="34"/>
        <v>20</v>
      </c>
      <c r="AE126" s="232"/>
    </row>
    <row r="127" spans="1:31" ht="54" customHeight="1">
      <c r="A127" s="242"/>
      <c r="B127" s="239"/>
      <c r="C127" s="221"/>
      <c r="D127" s="218"/>
      <c r="E127" s="221"/>
      <c r="F127" s="218"/>
      <c r="G127" s="49">
        <v>20</v>
      </c>
      <c r="H127" s="46" t="s">
        <v>283</v>
      </c>
      <c r="I127" s="222"/>
      <c r="J127" s="15"/>
      <c r="K127" s="15"/>
      <c r="L127" s="15"/>
      <c r="M127" s="15"/>
      <c r="N127" s="15"/>
      <c r="O127" s="15">
        <v>1</v>
      </c>
      <c r="P127" s="37"/>
      <c r="Q127" s="15">
        <v>0</v>
      </c>
      <c r="R127" s="45">
        <f t="shared" si="40"/>
        <v>2</v>
      </c>
      <c r="S127" s="45">
        <f t="shared" si="41"/>
        <v>4</v>
      </c>
      <c r="T127" s="45">
        <f t="shared" si="42"/>
        <v>6</v>
      </c>
      <c r="U127" s="45">
        <f t="shared" si="43"/>
        <v>12</v>
      </c>
      <c r="V127" s="45">
        <f t="shared" si="44"/>
        <v>20</v>
      </c>
      <c r="W127" s="13"/>
      <c r="X127" s="15">
        <f t="shared" si="32"/>
        <v>0</v>
      </c>
      <c r="Y127" s="15">
        <f t="shared" si="32"/>
        <v>0</v>
      </c>
      <c r="Z127" s="15">
        <f t="shared" si="32"/>
        <v>0</v>
      </c>
      <c r="AA127" s="15">
        <f t="shared" si="32"/>
        <v>0</v>
      </c>
      <c r="AB127" s="15">
        <f t="shared" si="33"/>
        <v>0</v>
      </c>
      <c r="AC127" s="15">
        <f t="shared" si="33"/>
        <v>20</v>
      </c>
      <c r="AD127" s="15">
        <f t="shared" si="34"/>
        <v>20</v>
      </c>
      <c r="AE127" s="232"/>
    </row>
    <row r="128" spans="1:31" ht="64.5" customHeight="1">
      <c r="A128" s="240">
        <v>11</v>
      </c>
      <c r="B128" s="237" t="s">
        <v>223</v>
      </c>
      <c r="C128" s="219"/>
      <c r="D128" s="216" t="s">
        <v>224</v>
      </c>
      <c r="E128" s="219"/>
      <c r="F128" s="216" t="s">
        <v>225</v>
      </c>
      <c r="G128" s="49">
        <v>1</v>
      </c>
      <c r="H128" s="46" t="s">
        <v>226</v>
      </c>
      <c r="I128" s="222" t="s">
        <v>288</v>
      </c>
      <c r="J128" s="15"/>
      <c r="K128" s="15"/>
      <c r="L128" s="15"/>
      <c r="M128" s="15"/>
      <c r="N128" s="15"/>
      <c r="O128" s="15">
        <v>1</v>
      </c>
      <c r="P128" s="37"/>
      <c r="Q128" s="15">
        <v>0</v>
      </c>
      <c r="R128" s="43">
        <f>12.5*0.1</f>
        <v>1.25</v>
      </c>
      <c r="S128" s="43">
        <f>12.5*0.2</f>
        <v>2.5</v>
      </c>
      <c r="T128" s="43">
        <f>12.5*0.3</f>
        <v>3.75</v>
      </c>
      <c r="U128" s="43">
        <f>12.5*0.6</f>
        <v>7.5</v>
      </c>
      <c r="V128" s="43">
        <f>12.5*1</f>
        <v>12.5</v>
      </c>
      <c r="W128" s="13"/>
      <c r="X128" s="15">
        <f t="shared" si="32"/>
        <v>0</v>
      </c>
      <c r="Y128" s="15">
        <f t="shared" si="32"/>
        <v>0</v>
      </c>
      <c r="Z128" s="15">
        <f t="shared" si="32"/>
        <v>0</v>
      </c>
      <c r="AA128" s="15">
        <f t="shared" si="32"/>
        <v>0</v>
      </c>
      <c r="AB128" s="15">
        <f t="shared" si="33"/>
        <v>0</v>
      </c>
      <c r="AC128" s="15">
        <f t="shared" si="33"/>
        <v>12.5</v>
      </c>
      <c r="AD128" s="15">
        <f t="shared" si="34"/>
        <v>12.5</v>
      </c>
      <c r="AE128" s="229">
        <f>SUM(AD128:AD135)</f>
        <v>99.5</v>
      </c>
    </row>
    <row r="129" spans="1:87" ht="66" customHeight="1">
      <c r="A129" s="241"/>
      <c r="B129" s="238"/>
      <c r="C129" s="220"/>
      <c r="D129" s="217"/>
      <c r="E129" s="220"/>
      <c r="F129" s="217"/>
      <c r="G129" s="49">
        <v>2</v>
      </c>
      <c r="H129" s="46" t="s">
        <v>227</v>
      </c>
      <c r="I129" s="222"/>
      <c r="J129" s="15"/>
      <c r="K129" s="15"/>
      <c r="L129" s="15"/>
      <c r="M129" s="15"/>
      <c r="N129" s="15"/>
      <c r="O129" s="15">
        <v>1</v>
      </c>
      <c r="P129" s="37"/>
      <c r="Q129" s="15">
        <v>0</v>
      </c>
      <c r="R129" s="43">
        <f t="shared" ref="R129:R134" si="45">12.5*0.1</f>
        <v>1.25</v>
      </c>
      <c r="S129" s="43">
        <f t="shared" ref="S129:S134" si="46">12.5*0.2</f>
        <v>2.5</v>
      </c>
      <c r="T129" s="43">
        <f t="shared" ref="T129:T134" si="47">12.5*0.3</f>
        <v>3.75</v>
      </c>
      <c r="U129" s="43">
        <f t="shared" ref="U129:U134" si="48">12.5*0.6</f>
        <v>7.5</v>
      </c>
      <c r="V129" s="43">
        <f t="shared" ref="V129:V134" si="49">12.5*1</f>
        <v>12.5</v>
      </c>
      <c r="W129" s="13"/>
      <c r="X129" s="15">
        <f t="shared" si="32"/>
        <v>0</v>
      </c>
      <c r="Y129" s="15">
        <f t="shared" si="32"/>
        <v>0</v>
      </c>
      <c r="Z129" s="15">
        <f t="shared" si="32"/>
        <v>0</v>
      </c>
      <c r="AA129" s="15">
        <f t="shared" si="32"/>
        <v>0</v>
      </c>
      <c r="AB129" s="15">
        <f t="shared" si="33"/>
        <v>0</v>
      </c>
      <c r="AC129" s="15">
        <f t="shared" si="33"/>
        <v>12.5</v>
      </c>
      <c r="AD129" s="15">
        <f t="shared" si="34"/>
        <v>12.5</v>
      </c>
      <c r="AE129" s="230"/>
    </row>
    <row r="130" spans="1:87" ht="92.25" customHeight="1">
      <c r="A130" s="241"/>
      <c r="B130" s="238"/>
      <c r="C130" s="220"/>
      <c r="D130" s="217"/>
      <c r="E130" s="220"/>
      <c r="F130" s="217"/>
      <c r="G130" s="49">
        <v>3</v>
      </c>
      <c r="H130" s="46" t="s">
        <v>228</v>
      </c>
      <c r="I130" s="222"/>
      <c r="J130" s="15"/>
      <c r="K130" s="15"/>
      <c r="L130" s="15"/>
      <c r="M130" s="15"/>
      <c r="N130" s="15"/>
      <c r="O130" s="15">
        <v>1</v>
      </c>
      <c r="P130" s="37"/>
      <c r="Q130" s="15">
        <v>0</v>
      </c>
      <c r="R130" s="43">
        <f t="shared" si="45"/>
        <v>1.25</v>
      </c>
      <c r="S130" s="43">
        <f t="shared" si="46"/>
        <v>2.5</v>
      </c>
      <c r="T130" s="43">
        <f t="shared" si="47"/>
        <v>3.75</v>
      </c>
      <c r="U130" s="43">
        <f t="shared" si="48"/>
        <v>7.5</v>
      </c>
      <c r="V130" s="43">
        <f t="shared" si="49"/>
        <v>12.5</v>
      </c>
      <c r="W130" s="13"/>
      <c r="X130" s="15">
        <f t="shared" si="32"/>
        <v>0</v>
      </c>
      <c r="Y130" s="15">
        <f t="shared" si="32"/>
        <v>0</v>
      </c>
      <c r="Z130" s="15">
        <f t="shared" si="32"/>
        <v>0</v>
      </c>
      <c r="AA130" s="15">
        <f t="shared" si="32"/>
        <v>0</v>
      </c>
      <c r="AB130" s="15">
        <f t="shared" si="33"/>
        <v>0</v>
      </c>
      <c r="AC130" s="15">
        <f t="shared" si="33"/>
        <v>12.5</v>
      </c>
      <c r="AD130" s="15">
        <f t="shared" si="34"/>
        <v>12.5</v>
      </c>
      <c r="AE130" s="230"/>
    </row>
    <row r="131" spans="1:87" ht="92.25" customHeight="1">
      <c r="A131" s="241"/>
      <c r="B131" s="238"/>
      <c r="C131" s="220"/>
      <c r="D131" s="217"/>
      <c r="E131" s="220"/>
      <c r="F131" s="217"/>
      <c r="G131" s="49">
        <v>4</v>
      </c>
      <c r="H131" s="46" t="s">
        <v>284</v>
      </c>
      <c r="I131" s="222"/>
      <c r="J131" s="15"/>
      <c r="K131" s="15"/>
      <c r="L131" s="15"/>
      <c r="M131" s="15"/>
      <c r="N131" s="15"/>
      <c r="O131" s="15">
        <v>1</v>
      </c>
      <c r="P131" s="37"/>
      <c r="Q131" s="15">
        <v>0</v>
      </c>
      <c r="R131" s="43">
        <f t="shared" si="45"/>
        <v>1.25</v>
      </c>
      <c r="S131" s="43">
        <f t="shared" si="46"/>
        <v>2.5</v>
      </c>
      <c r="T131" s="43">
        <f t="shared" si="47"/>
        <v>3.75</v>
      </c>
      <c r="U131" s="43">
        <f t="shared" si="48"/>
        <v>7.5</v>
      </c>
      <c r="V131" s="43">
        <f t="shared" si="49"/>
        <v>12.5</v>
      </c>
      <c r="W131" s="13"/>
      <c r="X131" s="15">
        <f t="shared" si="32"/>
        <v>0</v>
      </c>
      <c r="Y131" s="15">
        <f t="shared" si="32"/>
        <v>0</v>
      </c>
      <c r="Z131" s="15">
        <f t="shared" si="32"/>
        <v>0</v>
      </c>
      <c r="AA131" s="15">
        <f t="shared" ref="AA131:AC142" si="50">M131*T131</f>
        <v>0</v>
      </c>
      <c r="AB131" s="15">
        <f t="shared" si="33"/>
        <v>0</v>
      </c>
      <c r="AC131" s="15">
        <f t="shared" si="33"/>
        <v>12.5</v>
      </c>
      <c r="AD131" s="15">
        <f t="shared" si="34"/>
        <v>12.5</v>
      </c>
      <c r="AE131" s="230"/>
    </row>
    <row r="132" spans="1:87" ht="47.25" customHeight="1">
      <c r="A132" s="241"/>
      <c r="B132" s="238"/>
      <c r="C132" s="220"/>
      <c r="D132" s="217"/>
      <c r="E132" s="220"/>
      <c r="F132" s="217"/>
      <c r="G132" s="49">
        <v>5</v>
      </c>
      <c r="H132" s="46" t="s">
        <v>229</v>
      </c>
      <c r="I132" s="222"/>
      <c r="J132" s="15"/>
      <c r="K132" s="15"/>
      <c r="L132" s="15"/>
      <c r="M132" s="15"/>
      <c r="N132" s="15"/>
      <c r="O132" s="15">
        <v>1</v>
      </c>
      <c r="P132" s="37"/>
      <c r="Q132" s="15">
        <v>0</v>
      </c>
      <c r="R132" s="43">
        <f t="shared" si="45"/>
        <v>1.25</v>
      </c>
      <c r="S132" s="43">
        <f t="shared" si="46"/>
        <v>2.5</v>
      </c>
      <c r="T132" s="43">
        <f t="shared" si="47"/>
        <v>3.75</v>
      </c>
      <c r="U132" s="43">
        <f t="shared" si="48"/>
        <v>7.5</v>
      </c>
      <c r="V132" s="43">
        <f t="shared" si="49"/>
        <v>12.5</v>
      </c>
      <c r="W132" s="13"/>
      <c r="X132" s="15">
        <f t="shared" ref="X132:Z142" si="51">J132*Q132</f>
        <v>0</v>
      </c>
      <c r="Y132" s="15">
        <f t="shared" si="51"/>
        <v>0</v>
      </c>
      <c r="Z132" s="15">
        <f t="shared" si="51"/>
        <v>0</v>
      </c>
      <c r="AA132" s="15">
        <f t="shared" si="50"/>
        <v>0</v>
      </c>
      <c r="AB132" s="15">
        <f t="shared" si="50"/>
        <v>0</v>
      </c>
      <c r="AC132" s="15">
        <f t="shared" si="50"/>
        <v>12.5</v>
      </c>
      <c r="AD132" s="15">
        <f t="shared" ref="AD132:AD142" si="52">X132+Y132+Z132+AA132+AB132+AC132</f>
        <v>12.5</v>
      </c>
      <c r="AE132" s="230"/>
    </row>
    <row r="133" spans="1:87" ht="37.5" customHeight="1">
      <c r="A133" s="241"/>
      <c r="B133" s="238"/>
      <c r="C133" s="221"/>
      <c r="D133" s="218"/>
      <c r="E133" s="221"/>
      <c r="F133" s="218"/>
      <c r="G133" s="49">
        <v>6</v>
      </c>
      <c r="H133" s="46" t="s">
        <v>230</v>
      </c>
      <c r="I133" s="222"/>
      <c r="J133" s="15"/>
      <c r="K133" s="15"/>
      <c r="L133" s="15"/>
      <c r="M133" s="15"/>
      <c r="N133" s="15"/>
      <c r="O133" s="15">
        <v>1</v>
      </c>
      <c r="P133" s="37"/>
      <c r="Q133" s="15">
        <v>0</v>
      </c>
      <c r="R133" s="43">
        <f t="shared" si="45"/>
        <v>1.25</v>
      </c>
      <c r="S133" s="43">
        <f t="shared" si="46"/>
        <v>2.5</v>
      </c>
      <c r="T133" s="43">
        <f t="shared" si="47"/>
        <v>3.75</v>
      </c>
      <c r="U133" s="43">
        <f t="shared" si="48"/>
        <v>7.5</v>
      </c>
      <c r="V133" s="43">
        <f t="shared" si="49"/>
        <v>12.5</v>
      </c>
      <c r="W133" s="13"/>
      <c r="X133" s="15">
        <f t="shared" si="51"/>
        <v>0</v>
      </c>
      <c r="Y133" s="15">
        <f t="shared" si="51"/>
        <v>0</v>
      </c>
      <c r="Z133" s="15">
        <f t="shared" si="51"/>
        <v>0</v>
      </c>
      <c r="AA133" s="15">
        <f t="shared" si="50"/>
        <v>0</v>
      </c>
      <c r="AB133" s="15">
        <f t="shared" si="50"/>
        <v>0</v>
      </c>
      <c r="AC133" s="15">
        <f t="shared" si="50"/>
        <v>12.5</v>
      </c>
      <c r="AD133" s="15">
        <f t="shared" si="52"/>
        <v>12.5</v>
      </c>
      <c r="AE133" s="230"/>
    </row>
    <row r="134" spans="1:87" ht="64.5" customHeight="1">
      <c r="A134" s="241"/>
      <c r="B134" s="238"/>
      <c r="C134" s="219"/>
      <c r="D134" s="216" t="s">
        <v>231</v>
      </c>
      <c r="E134" s="219"/>
      <c r="F134" s="216" t="s">
        <v>285</v>
      </c>
      <c r="G134" s="49">
        <v>7</v>
      </c>
      <c r="H134" s="46" t="s">
        <v>232</v>
      </c>
      <c r="I134" s="222" t="s">
        <v>288</v>
      </c>
      <c r="J134" s="15"/>
      <c r="K134" s="15"/>
      <c r="L134" s="15"/>
      <c r="M134" s="15"/>
      <c r="N134" s="15"/>
      <c r="O134" s="15">
        <v>1</v>
      </c>
      <c r="P134" s="37"/>
      <c r="Q134" s="15">
        <v>0</v>
      </c>
      <c r="R134" s="43">
        <f t="shared" si="45"/>
        <v>1.25</v>
      </c>
      <c r="S134" s="43">
        <f t="shared" si="46"/>
        <v>2.5</v>
      </c>
      <c r="T134" s="43">
        <f t="shared" si="47"/>
        <v>3.75</v>
      </c>
      <c r="U134" s="43">
        <f t="shared" si="48"/>
        <v>7.5</v>
      </c>
      <c r="V134" s="43">
        <f t="shared" si="49"/>
        <v>12.5</v>
      </c>
      <c r="W134" s="13"/>
      <c r="X134" s="15">
        <f t="shared" si="51"/>
        <v>0</v>
      </c>
      <c r="Y134" s="15">
        <f t="shared" si="51"/>
        <v>0</v>
      </c>
      <c r="Z134" s="15">
        <f t="shared" si="51"/>
        <v>0</v>
      </c>
      <c r="AA134" s="15">
        <f t="shared" si="50"/>
        <v>0</v>
      </c>
      <c r="AB134" s="15">
        <f t="shared" si="50"/>
        <v>0</v>
      </c>
      <c r="AC134" s="15">
        <f t="shared" si="50"/>
        <v>12.5</v>
      </c>
      <c r="AD134" s="15">
        <f t="shared" si="52"/>
        <v>12.5</v>
      </c>
      <c r="AE134" s="230"/>
    </row>
    <row r="135" spans="1:87" ht="71.25" customHeight="1">
      <c r="A135" s="242"/>
      <c r="B135" s="239"/>
      <c r="C135" s="221"/>
      <c r="D135" s="218"/>
      <c r="E135" s="221"/>
      <c r="F135" s="218"/>
      <c r="G135" s="49">
        <v>8</v>
      </c>
      <c r="H135" s="46" t="s">
        <v>233</v>
      </c>
      <c r="I135" s="222"/>
      <c r="J135" s="15"/>
      <c r="K135" s="15"/>
      <c r="L135" s="15"/>
      <c r="M135" s="15"/>
      <c r="N135" s="15"/>
      <c r="O135" s="15">
        <v>1</v>
      </c>
      <c r="P135" s="37"/>
      <c r="Q135" s="15">
        <v>0</v>
      </c>
      <c r="R135" s="45">
        <f>12*0.1</f>
        <v>1.2000000000000002</v>
      </c>
      <c r="S135" s="45">
        <f>12*0.2</f>
        <v>2.4000000000000004</v>
      </c>
      <c r="T135" s="45">
        <f>12*0.3</f>
        <v>3.5999999999999996</v>
      </c>
      <c r="U135" s="45">
        <f>12*0.6</f>
        <v>7.1999999999999993</v>
      </c>
      <c r="V135" s="45">
        <f>12*1</f>
        <v>12</v>
      </c>
      <c r="W135" s="13"/>
      <c r="X135" s="15">
        <f t="shared" si="51"/>
        <v>0</v>
      </c>
      <c r="Y135" s="15">
        <f t="shared" si="51"/>
        <v>0</v>
      </c>
      <c r="Z135" s="15">
        <f t="shared" si="51"/>
        <v>0</v>
      </c>
      <c r="AA135" s="15">
        <f t="shared" si="50"/>
        <v>0</v>
      </c>
      <c r="AB135" s="15">
        <f t="shared" si="50"/>
        <v>0</v>
      </c>
      <c r="AC135" s="15">
        <f t="shared" si="50"/>
        <v>12</v>
      </c>
      <c r="AD135" s="15">
        <f t="shared" si="52"/>
        <v>12</v>
      </c>
      <c r="AE135" s="231"/>
    </row>
    <row r="136" spans="1:87" ht="62.25" customHeight="1">
      <c r="A136" s="244">
        <v>12</v>
      </c>
      <c r="B136" s="243" t="s">
        <v>318</v>
      </c>
      <c r="C136" s="223"/>
      <c r="D136" s="222" t="s">
        <v>234</v>
      </c>
      <c r="E136" s="223"/>
      <c r="F136" s="222" t="s">
        <v>235</v>
      </c>
      <c r="G136" s="54">
        <v>1</v>
      </c>
      <c r="H136" s="53" t="s">
        <v>236</v>
      </c>
      <c r="I136" s="222" t="s">
        <v>287</v>
      </c>
      <c r="J136" s="15"/>
      <c r="K136" s="15"/>
      <c r="L136" s="15"/>
      <c r="M136" s="15"/>
      <c r="N136" s="15"/>
      <c r="O136" s="15">
        <v>1</v>
      </c>
      <c r="P136" s="37"/>
      <c r="Q136" s="15">
        <v>0</v>
      </c>
      <c r="R136" s="43">
        <f>14*0.1</f>
        <v>1.4000000000000001</v>
      </c>
      <c r="S136" s="43">
        <f>14*0.2</f>
        <v>2.8000000000000003</v>
      </c>
      <c r="T136" s="43">
        <f>14*0.3</f>
        <v>4.2</v>
      </c>
      <c r="U136" s="43">
        <f>14*0.6</f>
        <v>8.4</v>
      </c>
      <c r="V136" s="43">
        <f>14*1</f>
        <v>14</v>
      </c>
      <c r="W136" s="13"/>
      <c r="X136" s="15">
        <f t="shared" si="51"/>
        <v>0</v>
      </c>
      <c r="Y136" s="15">
        <f t="shared" si="51"/>
        <v>0</v>
      </c>
      <c r="Z136" s="15">
        <f t="shared" si="51"/>
        <v>0</v>
      </c>
      <c r="AA136" s="15">
        <f t="shared" si="50"/>
        <v>0</v>
      </c>
      <c r="AB136" s="15">
        <f t="shared" si="50"/>
        <v>0</v>
      </c>
      <c r="AC136" s="15">
        <f t="shared" si="50"/>
        <v>14</v>
      </c>
      <c r="AD136" s="15">
        <f t="shared" si="52"/>
        <v>14</v>
      </c>
      <c r="AE136" s="229">
        <f>SUM(AD136:AD142)</f>
        <v>99.499999999999986</v>
      </c>
    </row>
    <row r="137" spans="1:87" ht="72" customHeight="1">
      <c r="A137" s="244"/>
      <c r="B137" s="243"/>
      <c r="C137" s="223"/>
      <c r="D137" s="222"/>
      <c r="E137" s="223"/>
      <c r="F137" s="222"/>
      <c r="G137" s="54">
        <v>2</v>
      </c>
      <c r="H137" s="53" t="s">
        <v>237</v>
      </c>
      <c r="I137" s="222"/>
      <c r="J137" s="15"/>
      <c r="K137" s="15"/>
      <c r="L137" s="15"/>
      <c r="M137" s="15"/>
      <c r="N137" s="15"/>
      <c r="O137" s="15">
        <v>1</v>
      </c>
      <c r="P137" s="37"/>
      <c r="Q137" s="15">
        <v>0</v>
      </c>
      <c r="R137" s="43">
        <f>14*0.1</f>
        <v>1.4000000000000001</v>
      </c>
      <c r="S137" s="43">
        <f>14*0.2</f>
        <v>2.8000000000000003</v>
      </c>
      <c r="T137" s="43">
        <f>14*0.3</f>
        <v>4.2</v>
      </c>
      <c r="U137" s="43">
        <f>14*0.6</f>
        <v>8.4</v>
      </c>
      <c r="V137" s="43">
        <f>14*1</f>
        <v>14</v>
      </c>
      <c r="W137" s="13"/>
      <c r="X137" s="15">
        <f t="shared" si="51"/>
        <v>0</v>
      </c>
      <c r="Y137" s="15">
        <f t="shared" si="51"/>
        <v>0</v>
      </c>
      <c r="Z137" s="15">
        <f t="shared" si="51"/>
        <v>0</v>
      </c>
      <c r="AA137" s="15">
        <f t="shared" si="50"/>
        <v>0</v>
      </c>
      <c r="AB137" s="15">
        <f t="shared" si="50"/>
        <v>0</v>
      </c>
      <c r="AC137" s="15">
        <f t="shared" si="50"/>
        <v>14</v>
      </c>
      <c r="AD137" s="15">
        <f t="shared" si="52"/>
        <v>14</v>
      </c>
      <c r="AE137" s="230"/>
    </row>
    <row r="138" spans="1:87" ht="53.25" customHeight="1">
      <c r="A138" s="244"/>
      <c r="B138" s="243"/>
      <c r="C138" s="223"/>
      <c r="D138" s="222"/>
      <c r="E138" s="223"/>
      <c r="F138" s="222"/>
      <c r="G138" s="54">
        <v>3</v>
      </c>
      <c r="H138" s="53" t="s">
        <v>238</v>
      </c>
      <c r="I138" s="222"/>
      <c r="J138" s="15"/>
      <c r="K138" s="15"/>
      <c r="L138" s="15"/>
      <c r="M138" s="15"/>
      <c r="N138" s="15"/>
      <c r="O138" s="15">
        <v>1</v>
      </c>
      <c r="P138" s="37"/>
      <c r="Q138" s="15">
        <v>0</v>
      </c>
      <c r="R138" s="43">
        <f>14.3*0.1</f>
        <v>1.4300000000000002</v>
      </c>
      <c r="S138" s="43">
        <f>14.3*0.2</f>
        <v>2.8600000000000003</v>
      </c>
      <c r="T138" s="43">
        <f>14.3*0.3</f>
        <v>4.29</v>
      </c>
      <c r="U138" s="43">
        <f>14.3*0.6</f>
        <v>8.58</v>
      </c>
      <c r="V138" s="43">
        <f>14.3*1</f>
        <v>14.3</v>
      </c>
      <c r="W138" s="13"/>
      <c r="X138" s="15">
        <f t="shared" si="51"/>
        <v>0</v>
      </c>
      <c r="Y138" s="15">
        <f t="shared" si="51"/>
        <v>0</v>
      </c>
      <c r="Z138" s="15">
        <f t="shared" si="51"/>
        <v>0</v>
      </c>
      <c r="AA138" s="15">
        <f t="shared" si="50"/>
        <v>0</v>
      </c>
      <c r="AB138" s="15">
        <f t="shared" si="50"/>
        <v>0</v>
      </c>
      <c r="AC138" s="15">
        <f t="shared" si="50"/>
        <v>14.3</v>
      </c>
      <c r="AD138" s="15">
        <f t="shared" si="52"/>
        <v>14.3</v>
      </c>
      <c r="AE138" s="230"/>
    </row>
    <row r="139" spans="1:87" ht="75.75" customHeight="1">
      <c r="A139" s="244"/>
      <c r="B139" s="243"/>
      <c r="C139" s="223"/>
      <c r="D139" s="222"/>
      <c r="E139" s="223"/>
      <c r="F139" s="222"/>
      <c r="G139" s="54">
        <v>4</v>
      </c>
      <c r="H139" s="53" t="s">
        <v>286</v>
      </c>
      <c r="I139" s="222"/>
      <c r="J139" s="15"/>
      <c r="K139" s="15"/>
      <c r="L139" s="15"/>
      <c r="M139" s="15"/>
      <c r="N139" s="15"/>
      <c r="O139" s="15">
        <v>1</v>
      </c>
      <c r="P139" s="37"/>
      <c r="Q139" s="15">
        <v>0</v>
      </c>
      <c r="R139" s="43">
        <f t="shared" ref="R139:R142" si="53">14.3*0.1</f>
        <v>1.4300000000000002</v>
      </c>
      <c r="S139" s="43">
        <f t="shared" ref="S139:S142" si="54">14.3*0.2</f>
        <v>2.8600000000000003</v>
      </c>
      <c r="T139" s="43">
        <f t="shared" ref="T139:T142" si="55">14.3*0.3</f>
        <v>4.29</v>
      </c>
      <c r="U139" s="43">
        <f t="shared" ref="U139:U142" si="56">14.3*0.6</f>
        <v>8.58</v>
      </c>
      <c r="V139" s="43">
        <f t="shared" ref="V139:V142" si="57">14.3*1</f>
        <v>14.3</v>
      </c>
      <c r="W139" s="13"/>
      <c r="X139" s="15">
        <f t="shared" si="51"/>
        <v>0</v>
      </c>
      <c r="Y139" s="15">
        <f t="shared" si="51"/>
        <v>0</v>
      </c>
      <c r="Z139" s="15">
        <f t="shared" si="51"/>
        <v>0</v>
      </c>
      <c r="AA139" s="15">
        <f t="shared" si="50"/>
        <v>0</v>
      </c>
      <c r="AB139" s="15">
        <f t="shared" si="50"/>
        <v>0</v>
      </c>
      <c r="AC139" s="15">
        <f t="shared" si="50"/>
        <v>14.3</v>
      </c>
      <c r="AD139" s="15">
        <f t="shared" si="52"/>
        <v>14.3</v>
      </c>
      <c r="AE139" s="230"/>
    </row>
    <row r="140" spans="1:87" ht="70.5" customHeight="1">
      <c r="A140" s="244"/>
      <c r="B140" s="243"/>
      <c r="C140" s="223"/>
      <c r="D140" s="222"/>
      <c r="E140" s="223"/>
      <c r="F140" s="222"/>
      <c r="G140" s="54">
        <v>5</v>
      </c>
      <c r="H140" s="53" t="s">
        <v>239</v>
      </c>
      <c r="I140" s="222"/>
      <c r="J140" s="15"/>
      <c r="K140" s="15"/>
      <c r="L140" s="15"/>
      <c r="M140" s="15"/>
      <c r="N140" s="15"/>
      <c r="O140" s="15">
        <v>1</v>
      </c>
      <c r="P140" s="37"/>
      <c r="Q140" s="15">
        <v>0</v>
      </c>
      <c r="R140" s="43">
        <f t="shared" si="53"/>
        <v>1.4300000000000002</v>
      </c>
      <c r="S140" s="43">
        <f t="shared" si="54"/>
        <v>2.8600000000000003</v>
      </c>
      <c r="T140" s="43">
        <f t="shared" si="55"/>
        <v>4.29</v>
      </c>
      <c r="U140" s="43">
        <f t="shared" si="56"/>
        <v>8.58</v>
      </c>
      <c r="V140" s="43">
        <f t="shared" si="57"/>
        <v>14.3</v>
      </c>
      <c r="W140" s="13"/>
      <c r="X140" s="15">
        <f t="shared" si="51"/>
        <v>0</v>
      </c>
      <c r="Y140" s="15">
        <f t="shared" si="51"/>
        <v>0</v>
      </c>
      <c r="Z140" s="15">
        <f t="shared" si="51"/>
        <v>0</v>
      </c>
      <c r="AA140" s="15">
        <f t="shared" si="50"/>
        <v>0</v>
      </c>
      <c r="AB140" s="15">
        <f t="shared" si="50"/>
        <v>0</v>
      </c>
      <c r="AC140" s="15">
        <f t="shared" si="50"/>
        <v>14.3</v>
      </c>
      <c r="AD140" s="15">
        <f t="shared" si="52"/>
        <v>14.3</v>
      </c>
      <c r="AE140" s="230"/>
    </row>
    <row r="141" spans="1:87" ht="64.5" customHeight="1">
      <c r="A141" s="244"/>
      <c r="B141" s="243"/>
      <c r="C141" s="17"/>
      <c r="D141" s="53" t="s">
        <v>240</v>
      </c>
      <c r="E141" s="54"/>
      <c r="F141" s="53" t="s">
        <v>241</v>
      </c>
      <c r="G141" s="54">
        <v>6</v>
      </c>
      <c r="H141" s="53" t="s">
        <v>242</v>
      </c>
      <c r="I141" s="46" t="s">
        <v>250</v>
      </c>
      <c r="J141" s="15"/>
      <c r="K141" s="15"/>
      <c r="L141" s="15"/>
      <c r="M141" s="15"/>
      <c r="N141" s="15"/>
      <c r="O141" s="15">
        <v>1</v>
      </c>
      <c r="P141" s="37"/>
      <c r="Q141" s="15">
        <v>0</v>
      </c>
      <c r="R141" s="43">
        <f t="shared" si="53"/>
        <v>1.4300000000000002</v>
      </c>
      <c r="S141" s="43">
        <f t="shared" si="54"/>
        <v>2.8600000000000003</v>
      </c>
      <c r="T141" s="43">
        <f t="shared" si="55"/>
        <v>4.29</v>
      </c>
      <c r="U141" s="43">
        <f t="shared" si="56"/>
        <v>8.58</v>
      </c>
      <c r="V141" s="43">
        <f t="shared" si="57"/>
        <v>14.3</v>
      </c>
      <c r="W141" s="13"/>
      <c r="X141" s="15">
        <f t="shared" si="51"/>
        <v>0</v>
      </c>
      <c r="Y141" s="15">
        <f t="shared" si="51"/>
        <v>0</v>
      </c>
      <c r="Z141" s="15">
        <f t="shared" si="51"/>
        <v>0</v>
      </c>
      <c r="AA141" s="15">
        <f t="shared" si="50"/>
        <v>0</v>
      </c>
      <c r="AB141" s="15">
        <f t="shared" si="50"/>
        <v>0</v>
      </c>
      <c r="AC141" s="15">
        <f t="shared" si="50"/>
        <v>14.3</v>
      </c>
      <c r="AD141" s="15">
        <f t="shared" si="52"/>
        <v>14.3</v>
      </c>
      <c r="AE141" s="230"/>
    </row>
    <row r="142" spans="1:87" ht="132" customHeight="1">
      <c r="A142" s="244"/>
      <c r="B142" s="243"/>
      <c r="C142" s="54"/>
      <c r="D142" s="53" t="s">
        <v>243</v>
      </c>
      <c r="E142" s="54"/>
      <c r="F142" s="53" t="s">
        <v>244</v>
      </c>
      <c r="G142" s="54">
        <v>7</v>
      </c>
      <c r="H142" s="53" t="s">
        <v>245</v>
      </c>
      <c r="I142" s="46" t="s">
        <v>250</v>
      </c>
      <c r="J142" s="15"/>
      <c r="K142" s="15"/>
      <c r="L142" s="15"/>
      <c r="M142" s="15"/>
      <c r="N142" s="15"/>
      <c r="O142" s="15">
        <v>1</v>
      </c>
      <c r="P142" s="37"/>
      <c r="Q142" s="15">
        <v>0</v>
      </c>
      <c r="R142" s="43">
        <f t="shared" si="53"/>
        <v>1.4300000000000002</v>
      </c>
      <c r="S142" s="43">
        <f t="shared" si="54"/>
        <v>2.8600000000000003</v>
      </c>
      <c r="T142" s="43">
        <f t="shared" si="55"/>
        <v>4.29</v>
      </c>
      <c r="U142" s="43">
        <f t="shared" si="56"/>
        <v>8.58</v>
      </c>
      <c r="V142" s="43">
        <f t="shared" si="57"/>
        <v>14.3</v>
      </c>
      <c r="W142" s="13"/>
      <c r="X142" s="15">
        <f t="shared" si="51"/>
        <v>0</v>
      </c>
      <c r="Y142" s="15">
        <f t="shared" si="51"/>
        <v>0</v>
      </c>
      <c r="Z142" s="15">
        <f t="shared" si="51"/>
        <v>0</v>
      </c>
      <c r="AA142" s="15">
        <f t="shared" si="50"/>
        <v>0</v>
      </c>
      <c r="AB142" s="15">
        <f t="shared" si="50"/>
        <v>0</v>
      </c>
      <c r="AC142" s="15">
        <f t="shared" si="50"/>
        <v>14.3</v>
      </c>
      <c r="AD142" s="15">
        <f t="shared" si="52"/>
        <v>14.3</v>
      </c>
      <c r="AE142" s="231"/>
    </row>
    <row r="143" spans="1:87" ht="28.5" hidden="1">
      <c r="A143" s="266" t="s">
        <v>17</v>
      </c>
      <c r="B143" s="266"/>
      <c r="C143" s="266"/>
      <c r="D143" s="266"/>
      <c r="E143" s="266"/>
      <c r="F143" s="266"/>
      <c r="G143" s="266"/>
      <c r="H143" s="266"/>
      <c r="I143" s="266"/>
      <c r="J143" s="266"/>
      <c r="K143" s="266"/>
      <c r="L143" s="266"/>
      <c r="M143" s="266"/>
      <c r="N143" s="266"/>
      <c r="O143" s="266"/>
      <c r="P143" s="266"/>
      <c r="Q143" s="266"/>
      <c r="R143" s="266"/>
      <c r="S143" s="266"/>
      <c r="T143" s="266"/>
      <c r="U143" s="266"/>
      <c r="V143" s="266"/>
      <c r="W143" s="266"/>
      <c r="X143" s="266"/>
      <c r="Y143" s="266"/>
      <c r="Z143" s="266"/>
      <c r="AA143" s="266"/>
      <c r="AB143" s="266"/>
      <c r="AC143" s="266"/>
      <c r="AD143" s="266"/>
      <c r="AE143" s="51">
        <f>SUM(AE5:AE142)</f>
        <v>2000</v>
      </c>
      <c r="AF143" s="19"/>
      <c r="AG143" s="19"/>
      <c r="AH143" s="19"/>
      <c r="AI143" s="19"/>
      <c r="AJ143" s="19"/>
      <c r="AK143" s="19"/>
      <c r="AL143" s="19"/>
      <c r="AM143" s="19"/>
      <c r="AN143" s="19"/>
      <c r="AO143" s="19"/>
      <c r="AP143" s="19"/>
      <c r="AQ143" s="19"/>
      <c r="AR143" s="19"/>
      <c r="AS143" s="19"/>
      <c r="AT143" s="19"/>
      <c r="AU143" s="19"/>
      <c r="AV143" s="19"/>
      <c r="AW143" s="19"/>
      <c r="AX143" s="19"/>
      <c r="AY143" s="19"/>
      <c r="AZ143" s="19"/>
      <c r="BA143" s="19"/>
      <c r="BB143" s="19"/>
      <c r="BC143" s="19"/>
      <c r="BD143" s="19"/>
      <c r="BE143" s="19"/>
      <c r="BF143" s="19"/>
      <c r="BG143" s="19"/>
      <c r="BH143" s="20"/>
      <c r="BI143" s="20"/>
      <c r="BJ143" s="20"/>
      <c r="BK143" s="20"/>
      <c r="BL143" s="20"/>
      <c r="BM143" s="20"/>
      <c r="BN143" s="20"/>
      <c r="BO143" s="20"/>
      <c r="BP143" s="20"/>
      <c r="BQ143" s="20"/>
      <c r="BR143" s="20"/>
      <c r="BS143" s="20"/>
      <c r="BT143" s="20"/>
      <c r="BU143" s="20"/>
      <c r="BV143" s="20"/>
      <c r="BW143" s="20"/>
      <c r="BX143" s="20"/>
      <c r="BY143" s="20"/>
      <c r="BZ143" s="20"/>
      <c r="CA143" s="20"/>
      <c r="CB143" s="20"/>
      <c r="CC143" s="20"/>
      <c r="CD143" s="20"/>
      <c r="CE143" s="20"/>
      <c r="CF143" s="20"/>
      <c r="CG143" s="20"/>
      <c r="CH143" s="20"/>
      <c r="CI143" s="20"/>
    </row>
    <row r="144" spans="1:87" s="23" customFormat="1" ht="19.5">
      <c r="A144" s="267" t="s">
        <v>450</v>
      </c>
      <c r="B144" s="267"/>
      <c r="C144" s="267"/>
      <c r="D144" s="267"/>
      <c r="E144" s="267"/>
      <c r="F144" s="267"/>
      <c r="G144" s="267"/>
      <c r="H144" s="267"/>
      <c r="I144" s="267"/>
      <c r="J144" s="267"/>
      <c r="K144" s="267"/>
      <c r="L144" s="267"/>
      <c r="M144" s="267"/>
      <c r="N144" s="267"/>
      <c r="O144" s="267"/>
      <c r="P144" s="267"/>
      <c r="Q144" s="267"/>
      <c r="R144" s="267"/>
      <c r="S144" s="267"/>
      <c r="T144" s="267"/>
      <c r="U144" s="267"/>
      <c r="V144" s="267"/>
      <c r="W144" s="267"/>
      <c r="X144" s="267"/>
      <c r="Y144" s="267"/>
      <c r="Z144" s="267"/>
      <c r="AA144" s="267"/>
      <c r="AB144" s="267"/>
      <c r="AC144" s="267"/>
      <c r="AD144" s="267"/>
      <c r="AE144" s="137">
        <f>SUM(AE5:AE142)</f>
        <v>2000</v>
      </c>
    </row>
    <row r="145" spans="1:31" s="140" customFormat="1" ht="19.5">
      <c r="A145" s="138"/>
      <c r="B145" s="138"/>
      <c r="C145" s="138"/>
      <c r="D145" s="138"/>
      <c r="E145" s="138"/>
      <c r="F145" s="138"/>
      <c r="G145" s="138"/>
      <c r="H145" s="138"/>
      <c r="I145" s="138"/>
      <c r="J145" s="138"/>
      <c r="K145" s="138"/>
      <c r="L145" s="138"/>
      <c r="M145" s="138"/>
      <c r="N145" s="138"/>
      <c r="O145" s="138"/>
      <c r="P145" s="138"/>
      <c r="Q145" s="138"/>
      <c r="R145" s="138"/>
      <c r="S145" s="138"/>
      <c r="T145" s="138"/>
      <c r="U145" s="138"/>
      <c r="V145" s="138"/>
      <c r="W145" s="138"/>
      <c r="X145" s="138"/>
      <c r="Y145" s="138"/>
      <c r="Z145" s="138"/>
      <c r="AA145" s="138"/>
      <c r="AB145" s="138"/>
      <c r="AC145" s="138"/>
      <c r="AD145" s="138"/>
      <c r="AE145" s="139"/>
    </row>
    <row r="146" spans="1:31">
      <c r="H146" s="7" t="s">
        <v>69</v>
      </c>
      <c r="I146" s="7" t="s">
        <v>68</v>
      </c>
    </row>
    <row r="147" spans="1:31">
      <c r="H147" s="7" t="s">
        <v>66</v>
      </c>
      <c r="I147" s="7" t="s">
        <v>67</v>
      </c>
    </row>
    <row r="148" spans="1:31">
      <c r="H148" s="7" t="s">
        <v>64</v>
      </c>
      <c r="I148" s="7" t="s">
        <v>65</v>
      </c>
    </row>
    <row r="149" spans="1:31">
      <c r="H149" s="7" t="s">
        <v>62</v>
      </c>
      <c r="I149" s="7" t="s">
        <v>63</v>
      </c>
    </row>
    <row r="150" spans="1:31">
      <c r="H150" s="7" t="s">
        <v>60</v>
      </c>
      <c r="I150" s="7" t="s">
        <v>61</v>
      </c>
    </row>
  </sheetData>
  <mergeCells count="221">
    <mergeCell ref="A144:AD144"/>
    <mergeCell ref="AE108:AE127"/>
    <mergeCell ref="AE128:AE135"/>
    <mergeCell ref="AE136:AE142"/>
    <mergeCell ref="B5:B41"/>
    <mergeCell ref="A5:A41"/>
    <mergeCell ref="I5:I6"/>
    <mergeCell ref="F5:F6"/>
    <mergeCell ref="E5:E6"/>
    <mergeCell ref="D5:D6"/>
    <mergeCell ref="C5:C6"/>
    <mergeCell ref="I7:I16"/>
    <mergeCell ref="F8:F16"/>
    <mergeCell ref="E8:E16"/>
    <mergeCell ref="I40:I41"/>
    <mergeCell ref="E22:E24"/>
    <mergeCell ref="F25:F28"/>
    <mergeCell ref="C60:C64"/>
    <mergeCell ref="A56:A64"/>
    <mergeCell ref="B56:B64"/>
    <mergeCell ref="P67:P68"/>
    <mergeCell ref="P69:P70"/>
    <mergeCell ref="P71:P72"/>
    <mergeCell ref="P51:P52"/>
    <mergeCell ref="P53:P54"/>
    <mergeCell ref="A143:AD143"/>
    <mergeCell ref="P12:P13"/>
    <mergeCell ref="P14:P15"/>
    <mergeCell ref="P61:P62"/>
    <mergeCell ref="P28:P29"/>
    <mergeCell ref="P30:P31"/>
    <mergeCell ref="P32:P33"/>
    <mergeCell ref="P34:P35"/>
    <mergeCell ref="P36:P37"/>
    <mergeCell ref="P42:P43"/>
    <mergeCell ref="P59:P60"/>
    <mergeCell ref="P98:P99"/>
    <mergeCell ref="P100:P101"/>
    <mergeCell ref="P80:P81"/>
    <mergeCell ref="P82:P83"/>
    <mergeCell ref="P38:P39"/>
    <mergeCell ref="P40:P41"/>
    <mergeCell ref="P16:P17"/>
    <mergeCell ref="P18:P19"/>
    <mergeCell ref="P20:P21"/>
    <mergeCell ref="P22:P23"/>
    <mergeCell ref="P25:P26"/>
    <mergeCell ref="F17:F19"/>
    <mergeCell ref="E17:E19"/>
    <mergeCell ref="A1:AE1"/>
    <mergeCell ref="A2:D2"/>
    <mergeCell ref="AD3:AD4"/>
    <mergeCell ref="AE3:AE4"/>
    <mergeCell ref="A3:A4"/>
    <mergeCell ref="B3:B4"/>
    <mergeCell ref="P3:P4"/>
    <mergeCell ref="W3:W4"/>
    <mergeCell ref="X3:AC4"/>
    <mergeCell ref="Q3:V3"/>
    <mergeCell ref="C3:D4"/>
    <mergeCell ref="E3:F4"/>
    <mergeCell ref="I3:I4"/>
    <mergeCell ref="G3:H4"/>
    <mergeCell ref="P2:AE2"/>
    <mergeCell ref="E2:O2"/>
    <mergeCell ref="J3:O3"/>
    <mergeCell ref="P55:P56"/>
    <mergeCell ref="A42:A55"/>
    <mergeCell ref="B42:B55"/>
    <mergeCell ref="B74:B91"/>
    <mergeCell ref="A74:A91"/>
    <mergeCell ref="B92:B105"/>
    <mergeCell ref="A92:A105"/>
    <mergeCell ref="B108:B127"/>
    <mergeCell ref="A108:A127"/>
    <mergeCell ref="F49:F52"/>
    <mergeCell ref="E49:E52"/>
    <mergeCell ref="C49:C52"/>
    <mergeCell ref="D49:D52"/>
    <mergeCell ref="F54:F55"/>
    <mergeCell ref="E54:E55"/>
    <mergeCell ref="D54:D55"/>
    <mergeCell ref="C54:C55"/>
    <mergeCell ref="C66:C69"/>
    <mergeCell ref="F70:F71"/>
    <mergeCell ref="D70:D71"/>
    <mergeCell ref="E70:E71"/>
    <mergeCell ref="C70:C71"/>
    <mergeCell ref="F72:F73"/>
    <mergeCell ref="D72:D73"/>
    <mergeCell ref="B128:B135"/>
    <mergeCell ref="A128:A135"/>
    <mergeCell ref="B136:B142"/>
    <mergeCell ref="A136:A142"/>
    <mergeCell ref="A66:A73"/>
    <mergeCell ref="E60:E64"/>
    <mergeCell ref="AE56:AE64"/>
    <mergeCell ref="B66:B73"/>
    <mergeCell ref="AE66:AE73"/>
    <mergeCell ref="P76:P77"/>
    <mergeCell ref="P78:P79"/>
    <mergeCell ref="P57:P58"/>
    <mergeCell ref="P63:P64"/>
    <mergeCell ref="P65:P66"/>
    <mergeCell ref="P74:P75"/>
    <mergeCell ref="P90:P91"/>
    <mergeCell ref="P92:P93"/>
    <mergeCell ref="AE74:AE91"/>
    <mergeCell ref="AE92:AE105"/>
    <mergeCell ref="F60:F64"/>
    <mergeCell ref="D60:D64"/>
    <mergeCell ref="F66:F69"/>
    <mergeCell ref="D66:D69"/>
    <mergeCell ref="E66:E69"/>
    <mergeCell ref="E25:E28"/>
    <mergeCell ref="D22:D31"/>
    <mergeCell ref="C22:C31"/>
    <mergeCell ref="F29:F31"/>
    <mergeCell ref="E29:E31"/>
    <mergeCell ref="F32:F36"/>
    <mergeCell ref="E32:E36"/>
    <mergeCell ref="AE5:AE41"/>
    <mergeCell ref="AE42:AE55"/>
    <mergeCell ref="F20:F21"/>
    <mergeCell ref="E20:E21"/>
    <mergeCell ref="D8:D21"/>
    <mergeCell ref="C8:C21"/>
    <mergeCell ref="F22:F24"/>
    <mergeCell ref="P45:P46"/>
    <mergeCell ref="P47:P48"/>
    <mergeCell ref="P49:P50"/>
    <mergeCell ref="I17:I21"/>
    <mergeCell ref="P5:P7"/>
    <mergeCell ref="P8:P9"/>
    <mergeCell ref="P10:P11"/>
    <mergeCell ref="F37:F39"/>
    <mergeCell ref="E37:E39"/>
    <mergeCell ref="D32:D39"/>
    <mergeCell ref="C32:C39"/>
    <mergeCell ref="F40:F41"/>
    <mergeCell ref="E40:E41"/>
    <mergeCell ref="D40:D41"/>
    <mergeCell ref="C40:C41"/>
    <mergeCell ref="F42:F48"/>
    <mergeCell ref="E42:E48"/>
    <mergeCell ref="D42:D48"/>
    <mergeCell ref="C42:C48"/>
    <mergeCell ref="E72:E73"/>
    <mergeCell ref="C72:C73"/>
    <mergeCell ref="F74:F83"/>
    <mergeCell ref="E74:E83"/>
    <mergeCell ref="D74:D83"/>
    <mergeCell ref="C74:C83"/>
    <mergeCell ref="F84:F90"/>
    <mergeCell ref="E84:E90"/>
    <mergeCell ref="D84:D90"/>
    <mergeCell ref="C84:C90"/>
    <mergeCell ref="F92:F94"/>
    <mergeCell ref="E92:E94"/>
    <mergeCell ref="D92:D94"/>
    <mergeCell ref="C92:C94"/>
    <mergeCell ref="F95:F100"/>
    <mergeCell ref="E95:E100"/>
    <mergeCell ref="D95:D100"/>
    <mergeCell ref="C95:C100"/>
    <mergeCell ref="F101:F103"/>
    <mergeCell ref="E101:E103"/>
    <mergeCell ref="D101:D105"/>
    <mergeCell ref="C101:C105"/>
    <mergeCell ref="F104:F105"/>
    <mergeCell ref="E104:E105"/>
    <mergeCell ref="F136:F140"/>
    <mergeCell ref="D136:D140"/>
    <mergeCell ref="E136:E140"/>
    <mergeCell ref="C136:C140"/>
    <mergeCell ref="F117:F124"/>
    <mergeCell ref="D117:D124"/>
    <mergeCell ref="E117:E124"/>
    <mergeCell ref="C117:C124"/>
    <mergeCell ref="F125:F127"/>
    <mergeCell ref="E125:E127"/>
    <mergeCell ref="D125:D127"/>
    <mergeCell ref="C125:C127"/>
    <mergeCell ref="F134:F135"/>
    <mergeCell ref="D134:D135"/>
    <mergeCell ref="E134:E135"/>
    <mergeCell ref="C134:C135"/>
    <mergeCell ref="I136:I140"/>
    <mergeCell ref="I134:I135"/>
    <mergeCell ref="I128:I133"/>
    <mergeCell ref="I125:I127"/>
    <mergeCell ref="I108:I124"/>
    <mergeCell ref="I101:I103"/>
    <mergeCell ref="I104:I105"/>
    <mergeCell ref="I95:I97"/>
    <mergeCell ref="I98:I100"/>
    <mergeCell ref="I92:I94"/>
    <mergeCell ref="I84:I91"/>
    <mergeCell ref="I22:I31"/>
    <mergeCell ref="I32:I39"/>
    <mergeCell ref="I42:I52"/>
    <mergeCell ref="I54:I55"/>
    <mergeCell ref="I56:I58"/>
    <mergeCell ref="I61:I64"/>
    <mergeCell ref="I66:I69"/>
    <mergeCell ref="I70:I71"/>
    <mergeCell ref="I72:I73"/>
    <mergeCell ref="I74:I80"/>
    <mergeCell ref="I81:I83"/>
    <mergeCell ref="F112:F115"/>
    <mergeCell ref="D112:D115"/>
    <mergeCell ref="E112:E115"/>
    <mergeCell ref="C112:C115"/>
    <mergeCell ref="F108:F111"/>
    <mergeCell ref="D108:D111"/>
    <mergeCell ref="E108:E111"/>
    <mergeCell ref="C108:C111"/>
    <mergeCell ref="F128:F133"/>
    <mergeCell ref="D128:D133"/>
    <mergeCell ref="E128:E133"/>
    <mergeCell ref="C128:C133"/>
  </mergeCells>
  <conditionalFormatting sqref="K5:N103 O5:O142">
    <cfRule type="cellIs" dxfId="3" priority="98" operator="equal">
      <formula>$V$5</formula>
    </cfRule>
  </conditionalFormatting>
  <conditionalFormatting sqref="K130:N142">
    <cfRule type="cellIs" dxfId="2" priority="75" operator="equal">
      <formula>$V$5</formula>
    </cfRule>
  </conditionalFormatting>
  <conditionalFormatting sqref="K130:K142">
    <cfRule type="colorScale" priority="76">
      <colorScale>
        <cfvo type="min"/>
        <cfvo type="percentile" val="50"/>
        <cfvo type="max"/>
        <color rgb="FFF8696B"/>
        <color rgb="FFFCFCFF"/>
        <color rgb="FF63BE7B"/>
      </colorScale>
    </cfRule>
  </conditionalFormatting>
  <conditionalFormatting sqref="L130:L142">
    <cfRule type="colorScale" priority="77">
      <colorScale>
        <cfvo type="min"/>
        <cfvo type="percentile" val="50"/>
        <cfvo type="max"/>
        <color rgb="FFF8696B"/>
        <color rgb="FFFCFCFF"/>
        <color rgb="FF63BE7B"/>
      </colorScale>
    </cfRule>
  </conditionalFormatting>
  <conditionalFormatting sqref="M130:M142">
    <cfRule type="colorScale" priority="78">
      <colorScale>
        <cfvo type="min"/>
        <cfvo type="percentile" val="50"/>
        <cfvo type="max"/>
        <color rgb="FFF8696B"/>
        <color rgb="FFFCFCFF"/>
        <color rgb="FF63BE7B"/>
      </colorScale>
    </cfRule>
  </conditionalFormatting>
  <conditionalFormatting sqref="N130:N142">
    <cfRule type="colorScale" priority="79">
      <colorScale>
        <cfvo type="min"/>
        <cfvo type="percentile" val="50"/>
        <cfvo type="max"/>
        <color rgb="FFF8696B"/>
        <color rgb="FFFCFCFF"/>
        <color rgb="FF63BE7B"/>
      </colorScale>
    </cfRule>
  </conditionalFormatting>
  <conditionalFormatting sqref="J130:J142">
    <cfRule type="colorScale" priority="80">
      <colorScale>
        <cfvo type="min"/>
        <cfvo type="percentile" val="50"/>
        <cfvo type="max"/>
        <color rgb="FFF8696B"/>
        <color rgb="FFFCFCFF"/>
        <color rgb="FF63BE7B"/>
      </colorScale>
    </cfRule>
  </conditionalFormatting>
  <conditionalFormatting sqref="K117:N129">
    <cfRule type="cellIs" dxfId="1" priority="67" operator="equal">
      <formula>$V$5</formula>
    </cfRule>
  </conditionalFormatting>
  <conditionalFormatting sqref="K117:K129">
    <cfRule type="colorScale" priority="68">
      <colorScale>
        <cfvo type="min"/>
        <cfvo type="percentile" val="50"/>
        <cfvo type="max"/>
        <color rgb="FFF8696B"/>
        <color rgb="FFFCFCFF"/>
        <color rgb="FF63BE7B"/>
      </colorScale>
    </cfRule>
  </conditionalFormatting>
  <conditionalFormatting sqref="L117:L129">
    <cfRule type="colorScale" priority="69">
      <colorScale>
        <cfvo type="min"/>
        <cfvo type="percentile" val="50"/>
        <cfvo type="max"/>
        <color rgb="FFF8696B"/>
        <color rgb="FFFCFCFF"/>
        <color rgb="FF63BE7B"/>
      </colorScale>
    </cfRule>
  </conditionalFormatting>
  <conditionalFormatting sqref="M117:M129">
    <cfRule type="colorScale" priority="70">
      <colorScale>
        <cfvo type="min"/>
        <cfvo type="percentile" val="50"/>
        <cfvo type="max"/>
        <color rgb="FFF8696B"/>
        <color rgb="FFFCFCFF"/>
        <color rgb="FF63BE7B"/>
      </colorScale>
    </cfRule>
  </conditionalFormatting>
  <conditionalFormatting sqref="N117:N129">
    <cfRule type="colorScale" priority="71">
      <colorScale>
        <cfvo type="min"/>
        <cfvo type="percentile" val="50"/>
        <cfvo type="max"/>
        <color rgb="FFF8696B"/>
        <color rgb="FFFCFCFF"/>
        <color rgb="FF63BE7B"/>
      </colorScale>
    </cfRule>
  </conditionalFormatting>
  <conditionalFormatting sqref="J117:J129">
    <cfRule type="colorScale" priority="72">
      <colorScale>
        <cfvo type="min"/>
        <cfvo type="percentile" val="50"/>
        <cfvo type="max"/>
        <color rgb="FFF8696B"/>
        <color rgb="FFFCFCFF"/>
        <color rgb="FF63BE7B"/>
      </colorScale>
    </cfRule>
  </conditionalFormatting>
  <conditionalFormatting sqref="K104:N116">
    <cfRule type="cellIs" dxfId="0" priority="59" operator="equal">
      <formula>$V$5</formula>
    </cfRule>
  </conditionalFormatting>
  <conditionalFormatting sqref="K104:K116">
    <cfRule type="colorScale" priority="60">
      <colorScale>
        <cfvo type="min"/>
        <cfvo type="percentile" val="50"/>
        <cfvo type="max"/>
        <color rgb="FFF8696B"/>
        <color rgb="FFFCFCFF"/>
        <color rgb="FF63BE7B"/>
      </colorScale>
    </cfRule>
  </conditionalFormatting>
  <conditionalFormatting sqref="L104:L116">
    <cfRule type="colorScale" priority="61">
      <colorScale>
        <cfvo type="min"/>
        <cfvo type="percentile" val="50"/>
        <cfvo type="max"/>
        <color rgb="FFF8696B"/>
        <color rgb="FFFCFCFF"/>
        <color rgb="FF63BE7B"/>
      </colorScale>
    </cfRule>
  </conditionalFormatting>
  <conditionalFormatting sqref="M104:M116">
    <cfRule type="colorScale" priority="62">
      <colorScale>
        <cfvo type="min"/>
        <cfvo type="percentile" val="50"/>
        <cfvo type="max"/>
        <color rgb="FFF8696B"/>
        <color rgb="FFFCFCFF"/>
        <color rgb="FF63BE7B"/>
      </colorScale>
    </cfRule>
  </conditionalFormatting>
  <conditionalFormatting sqref="N104:N116">
    <cfRule type="colorScale" priority="63">
      <colorScale>
        <cfvo type="min"/>
        <cfvo type="percentile" val="50"/>
        <cfvo type="max"/>
        <color rgb="FFF8696B"/>
        <color rgb="FFFCFCFF"/>
        <color rgb="FF63BE7B"/>
      </colorScale>
    </cfRule>
  </conditionalFormatting>
  <conditionalFormatting sqref="J104:J116">
    <cfRule type="colorScale" priority="64">
      <colorScale>
        <cfvo type="min"/>
        <cfvo type="percentile" val="50"/>
        <cfvo type="max"/>
        <color rgb="FFF8696B"/>
        <color rgb="FFFCFCFF"/>
        <color rgb="FF63BE7B"/>
      </colorScale>
    </cfRule>
  </conditionalFormatting>
  <conditionalFormatting sqref="K5:K103">
    <cfRule type="colorScale" priority="253">
      <colorScale>
        <cfvo type="min"/>
        <cfvo type="percentile" val="50"/>
        <cfvo type="max"/>
        <color rgb="FFF8696B"/>
        <color rgb="FFFCFCFF"/>
        <color rgb="FF63BE7B"/>
      </colorScale>
    </cfRule>
  </conditionalFormatting>
  <conditionalFormatting sqref="L5:L103">
    <cfRule type="colorScale" priority="254">
      <colorScale>
        <cfvo type="min"/>
        <cfvo type="percentile" val="50"/>
        <cfvo type="max"/>
        <color rgb="FFF8696B"/>
        <color rgb="FFFCFCFF"/>
        <color rgb="FF63BE7B"/>
      </colorScale>
    </cfRule>
  </conditionalFormatting>
  <conditionalFormatting sqref="M5:M103">
    <cfRule type="colorScale" priority="255">
      <colorScale>
        <cfvo type="min"/>
        <cfvo type="percentile" val="50"/>
        <cfvo type="max"/>
        <color rgb="FFF8696B"/>
        <color rgb="FFFCFCFF"/>
        <color rgb="FF63BE7B"/>
      </colorScale>
    </cfRule>
  </conditionalFormatting>
  <conditionalFormatting sqref="N5:N103">
    <cfRule type="colorScale" priority="256">
      <colorScale>
        <cfvo type="min"/>
        <cfvo type="percentile" val="50"/>
        <cfvo type="max"/>
        <color rgb="FFF8696B"/>
        <color rgb="FFFCFCFF"/>
        <color rgb="FF63BE7B"/>
      </colorScale>
    </cfRule>
  </conditionalFormatting>
  <conditionalFormatting sqref="J5:J103">
    <cfRule type="colorScale" priority="257">
      <colorScale>
        <cfvo type="min"/>
        <cfvo type="percentile" val="50"/>
        <cfvo type="max"/>
        <color rgb="FFF8696B"/>
        <color rgb="FFFCFCFF"/>
        <color rgb="FF63BE7B"/>
      </colorScale>
    </cfRule>
  </conditionalFormatting>
  <conditionalFormatting sqref="O5:O142">
    <cfRule type="colorScale" priority="258">
      <colorScale>
        <cfvo type="min"/>
        <cfvo type="percentile" val="50"/>
        <cfvo type="max"/>
        <color rgb="FFF8696B"/>
        <color rgb="FFFCFCFF"/>
        <color rgb="FF63BE7B"/>
      </colorScale>
    </cfRule>
  </conditionalFormatting>
  <pageMargins left="0.7" right="0.7" top="0.75" bottom="0.75" header="0.3" footer="0.3"/>
  <pageSetup scale="4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7" sqref="A7:B7"/>
    </sheetView>
  </sheetViews>
  <sheetFormatPr baseColWidth="10" defaultRowHeight="15.75"/>
  <cols>
    <col min="1" max="1" width="56.42578125" style="12" customWidth="1"/>
    <col min="2" max="2" width="57.5703125" style="9" customWidth="1"/>
    <col min="3" max="3" width="12.85546875" style="1" bestFit="1" customWidth="1"/>
    <col min="4" max="6" width="11.42578125" style="1"/>
  </cols>
  <sheetData>
    <row r="1" spans="1:6" ht="94.5" customHeight="1">
      <c r="A1" s="274" t="s">
        <v>73</v>
      </c>
      <c r="B1" s="274"/>
    </row>
    <row r="2" spans="1:6" s="4" customFormat="1" ht="27.75" customHeight="1">
      <c r="A2" s="272" t="s">
        <v>14</v>
      </c>
      <c r="B2" s="272"/>
      <c r="C2" s="2"/>
      <c r="D2" s="2"/>
      <c r="E2" s="2"/>
      <c r="F2" s="2"/>
    </row>
    <row r="3" spans="1:6" s="4" customFormat="1" ht="16.5" customHeight="1">
      <c r="A3" s="273" t="s">
        <v>74</v>
      </c>
      <c r="B3" s="273"/>
      <c r="C3" s="2"/>
      <c r="D3" s="2"/>
      <c r="E3" s="2"/>
      <c r="F3" s="2"/>
    </row>
    <row r="4" spans="1:6" s="5" customFormat="1" ht="34.5" customHeight="1">
      <c r="A4" s="29">
        <f>Evaluacion!AE143</f>
        <v>2000</v>
      </c>
      <c r="B4" s="30">
        <f>Referentes!C24</f>
        <v>0</v>
      </c>
      <c r="C4" s="3"/>
      <c r="D4" s="3"/>
      <c r="E4" s="3"/>
      <c r="F4" s="3"/>
    </row>
    <row r="5" spans="1:6" s="5" customFormat="1" ht="34.5" customHeight="1">
      <c r="A5" s="59" t="s">
        <v>75</v>
      </c>
      <c r="B5" s="60" t="s">
        <v>47</v>
      </c>
      <c r="C5" s="3"/>
      <c r="D5" s="3"/>
      <c r="E5" s="3"/>
      <c r="F5" s="3"/>
    </row>
    <row r="6" spans="1:6" s="5" customFormat="1" ht="19.5" customHeight="1">
      <c r="A6" s="270" t="s">
        <v>76</v>
      </c>
      <c r="B6" s="271"/>
      <c r="C6" s="3"/>
      <c r="D6" s="3"/>
      <c r="E6" s="3"/>
      <c r="F6" s="3"/>
    </row>
    <row r="7" spans="1:6" ht="35.25" customHeight="1">
      <c r="A7" s="269"/>
      <c r="B7" s="269"/>
    </row>
    <row r="8" spans="1:6" ht="15.75" customHeight="1"/>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8"/>
  <sheetViews>
    <sheetView workbookViewId="0">
      <selection activeCell="E18" sqref="E18"/>
    </sheetView>
  </sheetViews>
  <sheetFormatPr baseColWidth="10" defaultRowHeight="15"/>
  <cols>
    <col min="1" max="1" width="18.85546875" customWidth="1"/>
    <col min="2" max="2" width="31.42578125" customWidth="1"/>
    <col min="3" max="3" width="15.42578125" customWidth="1"/>
    <col min="4" max="4" width="16.7109375" customWidth="1"/>
    <col min="5" max="5" width="17.28515625" customWidth="1"/>
  </cols>
  <sheetData>
    <row r="2" spans="1:11" ht="30.75">
      <c r="A2" s="275"/>
      <c r="B2" s="276"/>
      <c r="C2" s="276"/>
      <c r="D2" s="276"/>
      <c r="E2" s="276"/>
      <c r="F2" s="21"/>
      <c r="G2" s="21"/>
      <c r="H2" s="21"/>
      <c r="I2" s="21"/>
      <c r="J2" s="21"/>
      <c r="K2" s="21"/>
    </row>
    <row r="3" spans="1:11" ht="18.75">
      <c r="A3" s="277" t="s">
        <v>371</v>
      </c>
      <c r="B3" s="277"/>
      <c r="C3" s="277"/>
      <c r="D3" s="277"/>
      <c r="E3" s="277"/>
    </row>
    <row r="4" spans="1:11" ht="15.75" thickBot="1"/>
    <row r="5" spans="1:11" ht="24.75" thickBot="1">
      <c r="A5" s="87" t="s">
        <v>372</v>
      </c>
      <c r="B5" s="87" t="s">
        <v>373</v>
      </c>
      <c r="C5" s="87" t="s">
        <v>374</v>
      </c>
      <c r="D5" s="87" t="s">
        <v>375</v>
      </c>
      <c r="E5" s="87" t="s">
        <v>376</v>
      </c>
    </row>
    <row r="6" spans="1:11" ht="15.75" thickBot="1">
      <c r="A6" s="278">
        <f>'[1]Datos Generales'!C7</f>
        <v>0</v>
      </c>
      <c r="B6" s="88" t="s">
        <v>343</v>
      </c>
      <c r="C6" s="89">
        <v>200</v>
      </c>
      <c r="D6" s="89">
        <f>Evaluacion!AE5</f>
        <v>200.00000000000011</v>
      </c>
      <c r="E6" s="90">
        <f>D6/C6</f>
        <v>1.0000000000000007</v>
      </c>
    </row>
    <row r="7" spans="1:11" ht="15.75" thickBot="1">
      <c r="A7" s="279"/>
      <c r="B7" s="91" t="s">
        <v>377</v>
      </c>
      <c r="C7" s="92">
        <v>100</v>
      </c>
      <c r="D7" s="92">
        <f>Evaluacion!AE42</f>
        <v>99.999999999999972</v>
      </c>
      <c r="E7" s="93">
        <f t="shared" ref="E7:E17" si="0">D7/C7</f>
        <v>0.99999999999999967</v>
      </c>
    </row>
    <row r="8" spans="1:11" ht="15.75" thickBot="1">
      <c r="A8" s="279"/>
      <c r="B8" s="88" t="s">
        <v>345</v>
      </c>
      <c r="C8" s="89">
        <v>200</v>
      </c>
      <c r="D8" s="89">
        <f>Evaluacion!AE56</f>
        <v>199.99999999999997</v>
      </c>
      <c r="E8" s="90">
        <f t="shared" si="0"/>
        <v>0.99999999999999989</v>
      </c>
    </row>
    <row r="9" spans="1:11" ht="15.75" thickBot="1">
      <c r="A9" s="279"/>
      <c r="B9" s="91" t="s">
        <v>346</v>
      </c>
      <c r="C9" s="92">
        <v>40</v>
      </c>
      <c r="D9" s="92">
        <f>Evaluacion!AE65</f>
        <v>40</v>
      </c>
      <c r="E9" s="93">
        <f t="shared" si="0"/>
        <v>1</v>
      </c>
    </row>
    <row r="10" spans="1:11" ht="15.75" thickBot="1">
      <c r="A10" s="279"/>
      <c r="B10" s="88" t="s">
        <v>347</v>
      </c>
      <c r="C10" s="89">
        <v>200</v>
      </c>
      <c r="D10" s="89">
        <f>Evaluacion!AE66</f>
        <v>200</v>
      </c>
      <c r="E10" s="90">
        <f t="shared" si="0"/>
        <v>1</v>
      </c>
    </row>
    <row r="11" spans="1:11" ht="15.75" thickBot="1">
      <c r="A11" s="279"/>
      <c r="B11" s="91" t="s">
        <v>348</v>
      </c>
      <c r="C11" s="92">
        <v>300.60000000000002</v>
      </c>
      <c r="D11" s="92">
        <f>Evaluacion!AE74</f>
        <v>300.59999999999991</v>
      </c>
      <c r="E11" s="93">
        <f t="shared" si="0"/>
        <v>0.99999999999999967</v>
      </c>
    </row>
    <row r="12" spans="1:11" ht="15.75" thickBot="1">
      <c r="A12" s="279"/>
      <c r="B12" s="88" t="s">
        <v>349</v>
      </c>
      <c r="C12" s="89">
        <v>267</v>
      </c>
      <c r="D12" s="89">
        <f>Evaluacion!AE92</f>
        <v>266.99999999999994</v>
      </c>
      <c r="E12" s="90">
        <f t="shared" si="0"/>
        <v>0.99999999999999978</v>
      </c>
    </row>
    <row r="13" spans="1:11" ht="15.75" thickBot="1">
      <c r="A13" s="279"/>
      <c r="B13" s="91" t="s">
        <v>350</v>
      </c>
      <c r="C13" s="92">
        <v>33.4</v>
      </c>
      <c r="D13" s="92">
        <f>Evaluacion!AE106</f>
        <v>33.4</v>
      </c>
      <c r="E13" s="93">
        <f t="shared" si="0"/>
        <v>1</v>
      </c>
    </row>
    <row r="14" spans="1:11" ht="15.75" thickBot="1">
      <c r="A14" s="279"/>
      <c r="B14" s="88" t="s">
        <v>351</v>
      </c>
      <c r="C14" s="89">
        <v>60</v>
      </c>
      <c r="D14" s="89">
        <f>Evaluacion!AE107</f>
        <v>60</v>
      </c>
      <c r="E14" s="90">
        <f t="shared" si="0"/>
        <v>1</v>
      </c>
    </row>
    <row r="15" spans="1:11" ht="15.75" thickBot="1">
      <c r="A15" s="279"/>
      <c r="B15" s="94" t="s">
        <v>352</v>
      </c>
      <c r="C15" s="92">
        <v>400</v>
      </c>
      <c r="D15" s="95">
        <f>Evaluacion!AE108</f>
        <v>400</v>
      </c>
      <c r="E15" s="93">
        <f t="shared" si="0"/>
        <v>1</v>
      </c>
    </row>
    <row r="16" spans="1:11" ht="15.75" thickBot="1">
      <c r="A16" s="279"/>
      <c r="B16" s="88" t="s">
        <v>378</v>
      </c>
      <c r="C16" s="89">
        <v>99.5</v>
      </c>
      <c r="D16" s="89">
        <f>Evaluacion!AE128</f>
        <v>99.5</v>
      </c>
      <c r="E16" s="90">
        <f t="shared" si="0"/>
        <v>1</v>
      </c>
    </row>
    <row r="17" spans="1:5" ht="15.75" thickBot="1">
      <c r="A17" s="280"/>
      <c r="B17" s="91" t="s">
        <v>234</v>
      </c>
      <c r="C17" s="92">
        <v>99.5</v>
      </c>
      <c r="D17" s="92">
        <f>Evaluacion!AE136</f>
        <v>99.499999999999986</v>
      </c>
      <c r="E17" s="93">
        <f t="shared" si="0"/>
        <v>0.99999999999999989</v>
      </c>
    </row>
    <row r="18" spans="1:5" ht="15.75" thickBot="1">
      <c r="D18" s="136">
        <f>SUM(D6:D17)</f>
        <v>2000</v>
      </c>
      <c r="E18" s="93"/>
    </row>
  </sheetData>
  <mergeCells count="3">
    <mergeCell ref="A2:E2"/>
    <mergeCell ref="A3:E3"/>
    <mergeCell ref="A6:A1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55" zoomScaleNormal="55" workbookViewId="0">
      <pane ySplit="2" topLeftCell="A3" activePane="bottomLeft" state="frozen"/>
      <selection pane="bottomLeft" activeCell="B7" sqref="B7"/>
    </sheetView>
  </sheetViews>
  <sheetFormatPr baseColWidth="10" defaultRowHeight="15.75"/>
  <cols>
    <col min="1" max="1" width="6" style="12" customWidth="1"/>
    <col min="2" max="2" width="114.140625" style="12" customWidth="1"/>
    <col min="3" max="3" width="8.7109375" style="12" customWidth="1"/>
    <col min="4" max="11" width="11.42578125" style="21"/>
  </cols>
  <sheetData>
    <row r="1" spans="1:11" ht="77.25" customHeight="1">
      <c r="A1" s="275" t="s">
        <v>51</v>
      </c>
      <c r="B1" s="276"/>
      <c r="C1" s="276"/>
    </row>
    <row r="2" spans="1:11" s="23" customFormat="1" ht="26.25" customHeight="1">
      <c r="A2" s="58" t="s">
        <v>1</v>
      </c>
      <c r="B2" s="285" t="s">
        <v>48</v>
      </c>
      <c r="C2" s="286"/>
      <c r="D2" s="22"/>
      <c r="E2" s="22"/>
      <c r="F2" s="22"/>
      <c r="G2" s="22"/>
      <c r="H2" s="22"/>
      <c r="I2" s="22"/>
      <c r="J2" s="22"/>
      <c r="K2" s="22"/>
    </row>
    <row r="3" spans="1:11" ht="23.25" customHeight="1">
      <c r="A3" s="292" t="s">
        <v>300</v>
      </c>
      <c r="B3" s="292"/>
      <c r="C3" s="8">
        <v>0</v>
      </c>
    </row>
    <row r="4" spans="1:11" ht="47.25">
      <c r="A4" s="24">
        <v>1</v>
      </c>
      <c r="B4" s="31" t="s">
        <v>301</v>
      </c>
      <c r="C4" s="27"/>
    </row>
    <row r="5" spans="1:11" ht="47.25">
      <c r="A5" s="24">
        <v>2</v>
      </c>
      <c r="B5" s="34" t="s">
        <v>302</v>
      </c>
      <c r="C5" s="27"/>
    </row>
    <row r="6" spans="1:11" ht="63">
      <c r="A6" s="24">
        <v>3</v>
      </c>
      <c r="B6" s="31" t="s">
        <v>303</v>
      </c>
      <c r="C6" s="27"/>
    </row>
    <row r="7" spans="1:11" ht="40.5" customHeight="1">
      <c r="A7" s="24">
        <v>4</v>
      </c>
      <c r="B7" s="31" t="s">
        <v>304</v>
      </c>
      <c r="C7" s="27"/>
    </row>
    <row r="8" spans="1:11" ht="47.25">
      <c r="A8" s="24">
        <v>5</v>
      </c>
      <c r="B8" s="34" t="s">
        <v>305</v>
      </c>
      <c r="C8" s="27"/>
    </row>
    <row r="9" spans="1:11" ht="51.75" customHeight="1">
      <c r="A9" s="24">
        <v>6</v>
      </c>
      <c r="B9" s="31" t="s">
        <v>306</v>
      </c>
      <c r="C9" s="27"/>
    </row>
    <row r="10" spans="1:11" ht="47.25">
      <c r="A10" s="24">
        <v>7</v>
      </c>
      <c r="B10" s="31" t="s">
        <v>307</v>
      </c>
      <c r="C10" s="27"/>
    </row>
    <row r="11" spans="1:11" ht="47.25">
      <c r="A11" s="24">
        <v>8</v>
      </c>
      <c r="B11" s="31" t="s">
        <v>308</v>
      </c>
      <c r="C11" s="27"/>
    </row>
    <row r="12" spans="1:11" ht="31.5">
      <c r="A12" s="24">
        <v>9</v>
      </c>
      <c r="B12" s="31" t="s">
        <v>309</v>
      </c>
      <c r="C12" s="27"/>
    </row>
    <row r="13" spans="1:11">
      <c r="A13" s="24">
        <v>10</v>
      </c>
      <c r="B13" s="34" t="s">
        <v>310</v>
      </c>
      <c r="C13" s="27"/>
    </row>
    <row r="14" spans="1:11">
      <c r="A14" s="24">
        <v>11</v>
      </c>
      <c r="B14" s="34" t="s">
        <v>311</v>
      </c>
      <c r="C14" s="27"/>
    </row>
    <row r="15" spans="1:11" ht="27" customHeight="1">
      <c r="A15" s="292" t="s">
        <v>319</v>
      </c>
      <c r="B15" s="292"/>
      <c r="C15" s="63">
        <v>0</v>
      </c>
      <c r="D15" s="26"/>
    </row>
    <row r="16" spans="1:11" ht="31.5">
      <c r="A16" s="24">
        <v>1</v>
      </c>
      <c r="B16" s="47" t="s">
        <v>312</v>
      </c>
      <c r="C16" s="27"/>
      <c r="D16" s="25"/>
    </row>
    <row r="17" spans="1:4" ht="31.5">
      <c r="A17" s="24">
        <v>2</v>
      </c>
      <c r="B17" s="47" t="s">
        <v>313</v>
      </c>
      <c r="C17" s="27"/>
      <c r="D17" s="25"/>
    </row>
    <row r="18" spans="1:4" ht="31.5">
      <c r="A18" s="24">
        <v>4</v>
      </c>
      <c r="B18" s="31" t="s">
        <v>314</v>
      </c>
      <c r="C18" s="27"/>
    </row>
    <row r="19" spans="1:4" ht="47.25">
      <c r="A19" s="24">
        <v>5</v>
      </c>
      <c r="B19" s="47" t="s">
        <v>315</v>
      </c>
      <c r="C19" s="27"/>
    </row>
    <row r="20" spans="1:4" ht="31.5">
      <c r="A20" s="24">
        <v>6</v>
      </c>
      <c r="B20" s="47" t="s">
        <v>316</v>
      </c>
      <c r="C20" s="27"/>
    </row>
    <row r="21" spans="1:4">
      <c r="A21" s="24">
        <v>7</v>
      </c>
      <c r="B21" s="24" t="s">
        <v>50</v>
      </c>
      <c r="C21" s="27"/>
    </row>
    <row r="22" spans="1:4">
      <c r="A22" s="24">
        <v>8</v>
      </c>
      <c r="B22" s="24" t="s">
        <v>49</v>
      </c>
      <c r="C22" s="27"/>
    </row>
    <row r="23" spans="1:4">
      <c r="A23" s="24">
        <v>9</v>
      </c>
      <c r="B23" s="24" t="s">
        <v>317</v>
      </c>
      <c r="C23" s="27"/>
    </row>
    <row r="24" spans="1:4" ht="30.75" customHeight="1">
      <c r="A24" s="288" t="s">
        <v>59</v>
      </c>
      <c r="B24" s="288"/>
      <c r="C24" s="61">
        <f>SUM(C3:C23)</f>
        <v>0</v>
      </c>
    </row>
    <row r="25" spans="1:4">
      <c r="C25" s="28"/>
    </row>
  </sheetData>
  <mergeCells count="5">
    <mergeCell ref="A1:C1"/>
    <mergeCell ref="A24:B24"/>
    <mergeCell ref="B2:C2"/>
    <mergeCell ref="A15:B15"/>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90" zoomScaleNormal="90" workbookViewId="0">
      <pane ySplit="2" topLeftCell="A3" activePane="bottomLeft" state="frozen"/>
      <selection pane="bottomLeft" activeCell="A3" sqref="A3:C3"/>
    </sheetView>
  </sheetViews>
  <sheetFormatPr baseColWidth="10" defaultRowHeight="15.75"/>
  <cols>
    <col min="1" max="1" width="4.7109375" style="32" customWidth="1"/>
    <col min="2" max="2" width="114.140625" style="32" customWidth="1"/>
    <col min="3" max="3" width="8.7109375" style="32" customWidth="1"/>
    <col min="4" max="11" width="11.42578125" style="21"/>
  </cols>
  <sheetData>
    <row r="1" spans="1:11" ht="77.25" customHeight="1">
      <c r="A1" s="275" t="s">
        <v>71</v>
      </c>
      <c r="B1" s="276"/>
      <c r="C1" s="276"/>
    </row>
    <row r="2" spans="1:11" s="23" customFormat="1" ht="30" customHeight="1">
      <c r="A2" s="285" t="s">
        <v>72</v>
      </c>
      <c r="B2" s="293"/>
      <c r="C2" s="286"/>
      <c r="D2" s="22"/>
      <c r="E2" s="22"/>
      <c r="F2" s="22"/>
      <c r="G2" s="22"/>
      <c r="H2" s="22"/>
      <c r="I2" s="22"/>
      <c r="J2" s="22"/>
      <c r="K2" s="22"/>
    </row>
    <row r="3" spans="1:11" ht="258" customHeight="1">
      <c r="A3" s="294"/>
      <c r="B3" s="295"/>
      <c r="C3" s="296"/>
    </row>
    <row r="4" spans="1:11" ht="30" customHeight="1">
      <c r="A4" s="285" t="s">
        <v>251</v>
      </c>
      <c r="B4" s="293"/>
      <c r="C4" s="286"/>
    </row>
    <row r="5" spans="1:11" ht="258" customHeight="1">
      <c r="A5" s="294"/>
      <c r="B5" s="295"/>
      <c r="C5" s="296"/>
      <c r="G5"/>
      <c r="H5"/>
      <c r="I5"/>
      <c r="J5"/>
      <c r="K5"/>
    </row>
    <row r="6" spans="1:11">
      <c r="A6" s="21"/>
      <c r="B6" s="21"/>
      <c r="C6" s="21"/>
      <c r="G6"/>
      <c r="H6"/>
      <c r="I6"/>
      <c r="J6"/>
      <c r="K6"/>
    </row>
    <row r="7" spans="1:11">
      <c r="A7" s="21"/>
      <c r="B7" s="21"/>
      <c r="C7" s="21"/>
      <c r="G7"/>
      <c r="H7"/>
      <c r="I7"/>
      <c r="J7"/>
      <c r="K7"/>
    </row>
    <row r="8" spans="1:11">
      <c r="A8" s="21"/>
      <c r="B8" s="21"/>
      <c r="C8" s="21"/>
      <c r="G8"/>
      <c r="H8"/>
      <c r="I8"/>
      <c r="J8"/>
      <c r="K8"/>
    </row>
    <row r="9" spans="1:11">
      <c r="A9" s="21"/>
      <c r="B9" s="21"/>
      <c r="C9" s="21"/>
      <c r="G9"/>
      <c r="H9"/>
      <c r="I9"/>
      <c r="J9"/>
      <c r="K9"/>
    </row>
    <row r="10" spans="1:11">
      <c r="A10" s="21"/>
      <c r="B10" s="21"/>
      <c r="C10" s="21"/>
      <c r="G10"/>
      <c r="H10"/>
      <c r="I10"/>
      <c r="J10"/>
      <c r="K10"/>
    </row>
    <row r="11" spans="1:11">
      <c r="C11" s="28"/>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Instrucciones</vt:lpstr>
      <vt:lpstr>Marco Legal y Normativo</vt:lpstr>
      <vt:lpstr>Solicitud de Adhesicón</vt:lpstr>
      <vt:lpstr>Tabla de puntuación</vt:lpstr>
      <vt:lpstr>Evaluacion</vt:lpstr>
      <vt:lpstr>Calificacion</vt:lpstr>
      <vt:lpstr>Segunda condicionante</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Adhesicón'!Área_de_impresión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2015-01-06T15:41:05Z</cp:lastPrinted>
  <dcterms:created xsi:type="dcterms:W3CDTF">2014-10-13T14:49:42Z</dcterms:created>
  <dcterms:modified xsi:type="dcterms:W3CDTF">2016-10-10T18:44:51Z</dcterms:modified>
</cp:coreProperties>
</file>