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1\MATRIC~1\"/>
    </mc:Choice>
  </mc:AlternateContent>
  <bookViews>
    <workbookView xWindow="0" yWindow="0" windowWidth="24000" windowHeight="9135" tabRatio="782"/>
  </bookViews>
  <sheets>
    <sheet name="Instrucciones" sheetId="4" r:id="rId1"/>
    <sheet name="Marco Legal y Normativo" sheetId="12" r:id="rId2"/>
    <sheet name="Solicitud de Adhesión" sheetId="3" r:id="rId3"/>
    <sheet name="Evaluacion" sheetId="1" r:id="rId4"/>
    <sheet name="Tabla de puntuación" sheetId="14" r:id="rId5"/>
    <sheet name="Segunda condicionante" sheetId="13" r:id="rId6"/>
    <sheet name="Calificacion" sheetId="10" r:id="rId7"/>
    <sheet name="Referentes" sheetId="5" r:id="rId8"/>
    <sheet name="Comentarios" sheetId="11" r:id="rId9"/>
  </sheets>
  <externalReferences>
    <externalReference r:id="rId10"/>
  </externalReferences>
  <definedNames>
    <definedName name="_xlnm.Print_Area" localSheetId="6">Calificacion!$A$1:$B$7</definedName>
    <definedName name="_xlnm.Print_Area" localSheetId="8">Comentarios!$A$1:$B$3</definedName>
    <definedName name="_xlnm.Print_Area" localSheetId="3">Evaluacion!$A$1:$AE$154</definedName>
    <definedName name="_xlnm.Print_Area" localSheetId="0">Instrucciones!$A$1:$I$10</definedName>
    <definedName name="_xlnm.Print_Area" localSheetId="1">'Marco Legal y Normativo'!$B$1:$C$31</definedName>
    <definedName name="_xlnm.Print_Area" localSheetId="7">Referentes!$A$1:$B$23</definedName>
    <definedName name="_xlnm.Print_Area" localSheetId="2">'Solicitud de Adhesión'!$A$1:$F$33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39" i="1" l="1"/>
  <c r="S139" i="1"/>
  <c r="T139" i="1"/>
  <c r="U139" i="1"/>
  <c r="V139" i="1"/>
  <c r="U117" i="1"/>
  <c r="T117" i="1"/>
  <c r="S117" i="1"/>
  <c r="R117" i="1"/>
  <c r="R116" i="1"/>
  <c r="S116" i="1"/>
  <c r="T116" i="1"/>
  <c r="U116" i="1"/>
  <c r="V117" i="1"/>
  <c r="V116" i="1"/>
  <c r="R115" i="1"/>
  <c r="S115" i="1"/>
  <c r="T115" i="1"/>
  <c r="U115" i="1"/>
  <c r="V115" i="1"/>
  <c r="V114" i="1"/>
  <c r="U114" i="1"/>
  <c r="T114" i="1"/>
  <c r="S114" i="1"/>
  <c r="R114" i="1"/>
  <c r="V113" i="1"/>
  <c r="U113" i="1"/>
  <c r="T113" i="1"/>
  <c r="S113" i="1"/>
  <c r="R113" i="1"/>
  <c r="V112" i="1"/>
  <c r="U112" i="1"/>
  <c r="T112" i="1"/>
  <c r="S112" i="1"/>
  <c r="R112" i="1"/>
  <c r="V111" i="1"/>
  <c r="U111" i="1"/>
  <c r="T111" i="1"/>
  <c r="S111" i="1"/>
  <c r="R111" i="1"/>
  <c r="R110" i="1"/>
  <c r="S110" i="1"/>
  <c r="T110" i="1"/>
  <c r="U110" i="1"/>
  <c r="V110" i="1"/>
  <c r="V102" i="1"/>
  <c r="U102" i="1"/>
  <c r="T102" i="1"/>
  <c r="S102" i="1"/>
  <c r="R102" i="1"/>
  <c r="V101" i="1"/>
  <c r="U101" i="1"/>
  <c r="T101" i="1"/>
  <c r="S101" i="1"/>
  <c r="R101" i="1"/>
  <c r="V100" i="1"/>
  <c r="U100" i="1"/>
  <c r="T100" i="1"/>
  <c r="S100" i="1"/>
  <c r="R100" i="1"/>
  <c r="R99" i="1"/>
  <c r="S99" i="1"/>
  <c r="T99" i="1"/>
  <c r="U99" i="1"/>
  <c r="V99" i="1"/>
  <c r="R72" i="1"/>
  <c r="S72" i="1"/>
  <c r="T72" i="1"/>
  <c r="U72" i="1"/>
  <c r="V72" i="1"/>
  <c r="R55" i="1"/>
  <c r="S55" i="1"/>
  <c r="T55" i="1"/>
  <c r="U55" i="1"/>
  <c r="V55" i="1"/>
  <c r="V47" i="1"/>
  <c r="U47" i="1"/>
  <c r="T47" i="1"/>
  <c r="S47" i="1"/>
  <c r="R47" i="1"/>
  <c r="V46" i="1"/>
  <c r="U46" i="1"/>
  <c r="T46" i="1"/>
  <c r="S46" i="1"/>
  <c r="R46" i="1"/>
  <c r="V45" i="1"/>
  <c r="U45" i="1"/>
  <c r="T45" i="1"/>
  <c r="S45" i="1"/>
  <c r="R45" i="1"/>
  <c r="R44" i="1"/>
  <c r="S44" i="1"/>
  <c r="T44" i="1"/>
  <c r="U44" i="1"/>
  <c r="V44" i="1"/>
  <c r="V14" i="1"/>
  <c r="U14" i="1"/>
  <c r="T14" i="1"/>
  <c r="S14" i="1"/>
  <c r="R14" i="1"/>
  <c r="V13" i="1"/>
  <c r="U13" i="1"/>
  <c r="T13" i="1"/>
  <c r="S13" i="1"/>
  <c r="R13" i="1"/>
  <c r="V12" i="1"/>
  <c r="U12" i="1"/>
  <c r="T12" i="1"/>
  <c r="S12" i="1"/>
  <c r="R12" i="1"/>
  <c r="V11" i="1"/>
  <c r="U11" i="1"/>
  <c r="T11" i="1"/>
  <c r="S11" i="1"/>
  <c r="R11" i="1"/>
  <c r="V10" i="1"/>
  <c r="U10" i="1"/>
  <c r="T10" i="1"/>
  <c r="S10" i="1"/>
  <c r="R10" i="1"/>
  <c r="V9" i="1"/>
  <c r="U9" i="1"/>
  <c r="T9" i="1"/>
  <c r="S9" i="1"/>
  <c r="R9" i="1"/>
  <c r="V8" i="1"/>
  <c r="U8" i="1"/>
  <c r="T8" i="1"/>
  <c r="S8" i="1"/>
  <c r="R8" i="1"/>
  <c r="V7" i="1"/>
  <c r="U7" i="1"/>
  <c r="T7" i="1"/>
  <c r="S7" i="1"/>
  <c r="R7" i="1"/>
  <c r="V6" i="1"/>
  <c r="U6" i="1"/>
  <c r="T6" i="1"/>
  <c r="S6" i="1"/>
  <c r="R6" i="1"/>
  <c r="R5" i="1"/>
  <c r="S5" i="1"/>
  <c r="T5" i="1"/>
  <c r="U5" i="1"/>
  <c r="V5" i="1"/>
  <c r="V153" i="1" l="1"/>
  <c r="U153" i="1"/>
  <c r="T153" i="1"/>
  <c r="S153" i="1"/>
  <c r="R153" i="1"/>
  <c r="V152" i="1"/>
  <c r="U152" i="1"/>
  <c r="T152" i="1"/>
  <c r="S152" i="1"/>
  <c r="R152" i="1"/>
  <c r="V151" i="1"/>
  <c r="U151" i="1"/>
  <c r="T151" i="1"/>
  <c r="S151" i="1"/>
  <c r="R151" i="1"/>
  <c r="V150" i="1"/>
  <c r="U150" i="1"/>
  <c r="T150" i="1"/>
  <c r="S150" i="1"/>
  <c r="R150" i="1"/>
  <c r="V149" i="1"/>
  <c r="U149" i="1"/>
  <c r="T149" i="1"/>
  <c r="S149" i="1"/>
  <c r="R149" i="1"/>
  <c r="V148" i="1"/>
  <c r="U148" i="1"/>
  <c r="T148" i="1"/>
  <c r="S148" i="1"/>
  <c r="R148" i="1"/>
  <c r="V147" i="1"/>
  <c r="U147" i="1"/>
  <c r="T147" i="1"/>
  <c r="S147" i="1"/>
  <c r="R147" i="1"/>
  <c r="U146" i="1"/>
  <c r="T146" i="1"/>
  <c r="S146" i="1"/>
  <c r="V146" i="1"/>
  <c r="R146" i="1"/>
  <c r="V145" i="1"/>
  <c r="U145" i="1"/>
  <c r="T145" i="1"/>
  <c r="S145" i="1"/>
  <c r="R145" i="1"/>
  <c r="V144" i="1"/>
  <c r="U144" i="1"/>
  <c r="T144" i="1"/>
  <c r="S144" i="1"/>
  <c r="R144" i="1"/>
  <c r="V143" i="1"/>
  <c r="U143" i="1"/>
  <c r="T143" i="1"/>
  <c r="S143" i="1"/>
  <c r="R143" i="1"/>
  <c r="V142" i="1"/>
  <c r="U142" i="1"/>
  <c r="T142" i="1"/>
  <c r="S142" i="1"/>
  <c r="R142" i="1"/>
  <c r="V141" i="1"/>
  <c r="U141" i="1"/>
  <c r="T141" i="1"/>
  <c r="S141" i="1"/>
  <c r="R141" i="1"/>
  <c r="V140" i="1"/>
  <c r="U140" i="1"/>
  <c r="T140" i="1"/>
  <c r="S140" i="1"/>
  <c r="R140" i="1"/>
  <c r="V138" i="1"/>
  <c r="U138" i="1"/>
  <c r="T138" i="1"/>
  <c r="S138" i="1"/>
  <c r="R138" i="1"/>
  <c r="V137" i="1"/>
  <c r="U137" i="1"/>
  <c r="T137" i="1"/>
  <c r="S137" i="1"/>
  <c r="R137" i="1"/>
  <c r="V136" i="1"/>
  <c r="U136" i="1"/>
  <c r="T136" i="1"/>
  <c r="S136" i="1"/>
  <c r="R136" i="1"/>
  <c r="V134" i="1"/>
  <c r="U134" i="1"/>
  <c r="T134" i="1"/>
  <c r="S134" i="1"/>
  <c r="R134" i="1"/>
  <c r="U135" i="1"/>
  <c r="T135" i="1"/>
  <c r="S135" i="1"/>
  <c r="V135" i="1"/>
  <c r="R135" i="1"/>
  <c r="V133" i="1"/>
  <c r="U133" i="1"/>
  <c r="T133" i="1"/>
  <c r="S133" i="1"/>
  <c r="R133" i="1"/>
  <c r="V132" i="1"/>
  <c r="U132" i="1"/>
  <c r="T132" i="1"/>
  <c r="S132" i="1"/>
  <c r="R132" i="1"/>
  <c r="V131" i="1"/>
  <c r="U131" i="1"/>
  <c r="T131" i="1"/>
  <c r="S131" i="1"/>
  <c r="R131" i="1"/>
  <c r="V130" i="1"/>
  <c r="U130" i="1"/>
  <c r="T130" i="1"/>
  <c r="S130" i="1"/>
  <c r="R130" i="1"/>
  <c r="V129" i="1"/>
  <c r="U129" i="1"/>
  <c r="T129" i="1"/>
  <c r="S129" i="1"/>
  <c r="R129" i="1"/>
  <c r="V128" i="1"/>
  <c r="U128" i="1"/>
  <c r="T128" i="1"/>
  <c r="S128" i="1"/>
  <c r="R128" i="1"/>
  <c r="V127" i="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U118" i="1"/>
  <c r="T118" i="1"/>
  <c r="S118" i="1"/>
  <c r="V118" i="1"/>
  <c r="R118" i="1"/>
  <c r="V109" i="1"/>
  <c r="U109" i="1"/>
  <c r="T109" i="1"/>
  <c r="S109" i="1"/>
  <c r="R109" i="1"/>
  <c r="V108" i="1"/>
  <c r="U108" i="1"/>
  <c r="T108" i="1"/>
  <c r="S108" i="1"/>
  <c r="R108" i="1"/>
  <c r="V107" i="1"/>
  <c r="U107" i="1"/>
  <c r="T107" i="1"/>
  <c r="S107" i="1"/>
  <c r="R107" i="1"/>
  <c r="V106" i="1"/>
  <c r="U106" i="1"/>
  <c r="T106" i="1"/>
  <c r="S106" i="1"/>
  <c r="R106" i="1"/>
  <c r="V105" i="1"/>
  <c r="U105" i="1"/>
  <c r="T105" i="1"/>
  <c r="S105" i="1"/>
  <c r="R105" i="1"/>
  <c r="V104" i="1"/>
  <c r="U104" i="1"/>
  <c r="T104" i="1"/>
  <c r="S104" i="1"/>
  <c r="R104" i="1"/>
  <c r="V103" i="1"/>
  <c r="U103" i="1"/>
  <c r="T103" i="1"/>
  <c r="S103" i="1"/>
  <c r="R103" i="1"/>
  <c r="V98" i="1"/>
  <c r="U98" i="1"/>
  <c r="T98" i="1"/>
  <c r="S98" i="1"/>
  <c r="R98" i="1"/>
  <c r="V97" i="1"/>
  <c r="U97" i="1"/>
  <c r="T97" i="1"/>
  <c r="S97" i="1"/>
  <c r="R97"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83" i="1"/>
  <c r="U83" i="1"/>
  <c r="T83" i="1"/>
  <c r="S83" i="1"/>
  <c r="R83" i="1"/>
  <c r="V82" i="1"/>
  <c r="U82" i="1"/>
  <c r="T82" i="1"/>
  <c r="S82" i="1"/>
  <c r="R82" i="1"/>
  <c r="V81" i="1"/>
  <c r="U81" i="1"/>
  <c r="T81" i="1"/>
  <c r="S81" i="1"/>
  <c r="R81" i="1"/>
  <c r="V80" i="1"/>
  <c r="U80" i="1"/>
  <c r="T80" i="1"/>
  <c r="S80" i="1"/>
  <c r="R80" i="1"/>
  <c r="U79" i="1"/>
  <c r="T79" i="1"/>
  <c r="S79" i="1"/>
  <c r="V79" i="1"/>
  <c r="R79" i="1"/>
  <c r="V78" i="1"/>
  <c r="U78" i="1"/>
  <c r="T78" i="1"/>
  <c r="S78" i="1"/>
  <c r="R78" i="1"/>
  <c r="V77" i="1"/>
  <c r="U77" i="1"/>
  <c r="T77" i="1"/>
  <c r="S77" i="1"/>
  <c r="R77" i="1"/>
  <c r="V76" i="1"/>
  <c r="U76" i="1"/>
  <c r="T76" i="1"/>
  <c r="S76" i="1"/>
  <c r="R76" i="1"/>
  <c r="V75" i="1"/>
  <c r="U75" i="1"/>
  <c r="T75" i="1"/>
  <c r="S75" i="1"/>
  <c r="R75" i="1"/>
  <c r="V74" i="1"/>
  <c r="U74" i="1"/>
  <c r="T74" i="1"/>
  <c r="S74" i="1"/>
  <c r="R74" i="1"/>
  <c r="U73" i="1"/>
  <c r="T73" i="1"/>
  <c r="S73" i="1"/>
  <c r="V73" i="1"/>
  <c r="R73" i="1"/>
  <c r="V71" i="1"/>
  <c r="U71" i="1"/>
  <c r="T71" i="1"/>
  <c r="S71" i="1"/>
  <c r="R71" i="1"/>
  <c r="V70" i="1"/>
  <c r="U70" i="1"/>
  <c r="T70" i="1"/>
  <c r="S70" i="1"/>
  <c r="R70" i="1"/>
  <c r="V69" i="1"/>
  <c r="U69" i="1"/>
  <c r="T69" i="1"/>
  <c r="S69" i="1"/>
  <c r="R69" i="1"/>
  <c r="V68" i="1"/>
  <c r="U68" i="1"/>
  <c r="T68" i="1"/>
  <c r="S68" i="1"/>
  <c r="R68" i="1"/>
  <c r="V67" i="1"/>
  <c r="U67" i="1"/>
  <c r="T67" i="1"/>
  <c r="S67" i="1"/>
  <c r="R67" i="1"/>
  <c r="V66" i="1"/>
  <c r="U66" i="1"/>
  <c r="T66" i="1"/>
  <c r="S66" i="1"/>
  <c r="R66" i="1"/>
  <c r="V65" i="1"/>
  <c r="U65" i="1"/>
  <c r="T65" i="1"/>
  <c r="S65" i="1"/>
  <c r="R65" i="1"/>
  <c r="V64" i="1"/>
  <c r="U64" i="1"/>
  <c r="T64" i="1"/>
  <c r="S64" i="1"/>
  <c r="R64" i="1"/>
  <c r="V63" i="1"/>
  <c r="U63" i="1"/>
  <c r="T63" i="1"/>
  <c r="S63" i="1"/>
  <c r="R63" i="1"/>
  <c r="V62" i="1"/>
  <c r="U62" i="1"/>
  <c r="T62" i="1"/>
  <c r="S62" i="1"/>
  <c r="R62" i="1"/>
  <c r="V61" i="1"/>
  <c r="U61" i="1"/>
  <c r="T61" i="1"/>
  <c r="S61" i="1"/>
  <c r="R61" i="1"/>
  <c r="V60" i="1"/>
  <c r="U60" i="1"/>
  <c r="T60" i="1"/>
  <c r="S60" i="1"/>
  <c r="R60" i="1"/>
  <c r="V59" i="1"/>
  <c r="U59" i="1"/>
  <c r="T59" i="1"/>
  <c r="S59" i="1"/>
  <c r="R59" i="1"/>
  <c r="V58" i="1"/>
  <c r="U58" i="1"/>
  <c r="T58" i="1"/>
  <c r="S58" i="1"/>
  <c r="R58" i="1"/>
  <c r="V57" i="1"/>
  <c r="U57" i="1"/>
  <c r="T57" i="1"/>
  <c r="S57" i="1"/>
  <c r="R57" i="1"/>
  <c r="V56" i="1"/>
  <c r="U56" i="1"/>
  <c r="T56" i="1"/>
  <c r="S56" i="1"/>
  <c r="R56" i="1"/>
  <c r="V54" i="1"/>
  <c r="U54" i="1"/>
  <c r="T54" i="1"/>
  <c r="S54" i="1"/>
  <c r="R54" i="1"/>
  <c r="V53" i="1"/>
  <c r="U53" i="1"/>
  <c r="T53" i="1"/>
  <c r="S53" i="1"/>
  <c r="R53" i="1"/>
  <c r="V52" i="1"/>
  <c r="U52" i="1"/>
  <c r="T52" i="1"/>
  <c r="S52" i="1"/>
  <c r="R52" i="1"/>
  <c r="V51" i="1"/>
  <c r="U51" i="1"/>
  <c r="T51" i="1"/>
  <c r="S51" i="1"/>
  <c r="R51" i="1"/>
  <c r="V50" i="1"/>
  <c r="U50" i="1"/>
  <c r="T50" i="1"/>
  <c r="S50" i="1"/>
  <c r="R50" i="1"/>
  <c r="V49" i="1"/>
  <c r="U49" i="1"/>
  <c r="T49" i="1"/>
  <c r="S49" i="1"/>
  <c r="R49" i="1"/>
  <c r="V48" i="1"/>
  <c r="U48" i="1"/>
  <c r="T48" i="1"/>
  <c r="S48" i="1"/>
  <c r="R48" i="1"/>
  <c r="U43" i="1"/>
  <c r="T43" i="1"/>
  <c r="S43" i="1"/>
  <c r="V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D18" i="14" l="1"/>
  <c r="C18" i="14"/>
  <c r="AB7" i="1" l="1"/>
  <c r="X6" i="1" l="1"/>
  <c r="Y6" i="1"/>
  <c r="Z6" i="1"/>
  <c r="AA6" i="1"/>
  <c r="AB6" i="1"/>
  <c r="AC6" i="1"/>
  <c r="X7" i="1"/>
  <c r="Y7" i="1"/>
  <c r="Z7" i="1"/>
  <c r="AA7" i="1"/>
  <c r="AC7" i="1"/>
  <c r="X8" i="1"/>
  <c r="Y8" i="1"/>
  <c r="Z8" i="1"/>
  <c r="AA8" i="1"/>
  <c r="AB8" i="1"/>
  <c r="AC8" i="1"/>
  <c r="X9" i="1"/>
  <c r="Y9" i="1"/>
  <c r="Z9" i="1"/>
  <c r="AA9" i="1"/>
  <c r="AB9" i="1"/>
  <c r="AC9" i="1"/>
  <c r="X10" i="1"/>
  <c r="Y10" i="1"/>
  <c r="Z10" i="1"/>
  <c r="AA10" i="1"/>
  <c r="AB10" i="1"/>
  <c r="AC10" i="1"/>
  <c r="X11" i="1"/>
  <c r="Y11" i="1"/>
  <c r="Z11" i="1"/>
  <c r="AA11" i="1"/>
  <c r="AB11" i="1"/>
  <c r="AC11" i="1"/>
  <c r="X12" i="1"/>
  <c r="Y12" i="1"/>
  <c r="Z12" i="1"/>
  <c r="AA12" i="1"/>
  <c r="AB12" i="1"/>
  <c r="AC12" i="1"/>
  <c r="X13" i="1"/>
  <c r="Y13" i="1"/>
  <c r="Z13" i="1"/>
  <c r="AA13" i="1"/>
  <c r="AB13" i="1"/>
  <c r="AC13" i="1"/>
  <c r="X14" i="1"/>
  <c r="Y14" i="1"/>
  <c r="Z14" i="1"/>
  <c r="AA14" i="1"/>
  <c r="AB14" i="1"/>
  <c r="AC14" i="1"/>
  <c r="X15" i="1"/>
  <c r="Y15" i="1"/>
  <c r="Z15" i="1"/>
  <c r="AA15" i="1"/>
  <c r="AB15" i="1"/>
  <c r="AC15" i="1"/>
  <c r="X16" i="1"/>
  <c r="Y16" i="1"/>
  <c r="Z16" i="1"/>
  <c r="AA16" i="1"/>
  <c r="AB16" i="1"/>
  <c r="AC16" i="1"/>
  <c r="X17" i="1"/>
  <c r="Y17" i="1"/>
  <c r="Z17" i="1"/>
  <c r="AA17" i="1"/>
  <c r="AB17" i="1"/>
  <c r="AC17" i="1"/>
  <c r="X18" i="1"/>
  <c r="AD18" i="1" s="1"/>
  <c r="Y18" i="1"/>
  <c r="Z18" i="1"/>
  <c r="AA18" i="1"/>
  <c r="AB18" i="1"/>
  <c r="AC18" i="1"/>
  <c r="X19" i="1"/>
  <c r="Y19" i="1"/>
  <c r="Z19" i="1"/>
  <c r="AA19" i="1"/>
  <c r="AB19" i="1"/>
  <c r="AC19" i="1"/>
  <c r="X20" i="1"/>
  <c r="Y20" i="1"/>
  <c r="Z20" i="1"/>
  <c r="AA20" i="1"/>
  <c r="AB20" i="1"/>
  <c r="AC20" i="1"/>
  <c r="X21" i="1"/>
  <c r="Y21" i="1"/>
  <c r="Z21" i="1"/>
  <c r="AA21" i="1"/>
  <c r="AB21" i="1"/>
  <c r="AC21" i="1"/>
  <c r="X22" i="1"/>
  <c r="Y22" i="1"/>
  <c r="Z22" i="1"/>
  <c r="AA22" i="1"/>
  <c r="AB22" i="1"/>
  <c r="AC22" i="1"/>
  <c r="X23" i="1"/>
  <c r="Y23" i="1"/>
  <c r="Z23" i="1"/>
  <c r="AA23" i="1"/>
  <c r="AB23" i="1"/>
  <c r="AC23" i="1"/>
  <c r="X24" i="1"/>
  <c r="Y24" i="1"/>
  <c r="Z24" i="1"/>
  <c r="AA24" i="1"/>
  <c r="AB24" i="1"/>
  <c r="AC24" i="1"/>
  <c r="X25" i="1"/>
  <c r="Y25" i="1"/>
  <c r="Z25" i="1"/>
  <c r="AA25" i="1"/>
  <c r="AB25" i="1"/>
  <c r="AC25" i="1"/>
  <c r="X26" i="1"/>
  <c r="Y26" i="1"/>
  <c r="Z26" i="1"/>
  <c r="AA26" i="1"/>
  <c r="AB26" i="1"/>
  <c r="AC26" i="1"/>
  <c r="X27" i="1"/>
  <c r="Y27" i="1"/>
  <c r="Z27" i="1"/>
  <c r="AA27" i="1"/>
  <c r="AB27" i="1"/>
  <c r="AC27" i="1"/>
  <c r="X28" i="1"/>
  <c r="Y28" i="1"/>
  <c r="Z28" i="1"/>
  <c r="AA28" i="1"/>
  <c r="AB28" i="1"/>
  <c r="AC28" i="1"/>
  <c r="X29" i="1"/>
  <c r="Y29" i="1"/>
  <c r="Z29" i="1"/>
  <c r="AA29" i="1"/>
  <c r="AB29" i="1"/>
  <c r="AC29" i="1"/>
  <c r="X30" i="1"/>
  <c r="Y30" i="1"/>
  <c r="Z30" i="1"/>
  <c r="AA30" i="1"/>
  <c r="AB30" i="1"/>
  <c r="AC30" i="1"/>
  <c r="X31" i="1"/>
  <c r="Y31" i="1"/>
  <c r="Z31" i="1"/>
  <c r="AA31" i="1"/>
  <c r="AB31" i="1"/>
  <c r="AC31" i="1"/>
  <c r="X32" i="1"/>
  <c r="Y32" i="1"/>
  <c r="Z32" i="1"/>
  <c r="AA32" i="1"/>
  <c r="AB32" i="1"/>
  <c r="AC32" i="1"/>
  <c r="X33" i="1"/>
  <c r="Y33" i="1"/>
  <c r="Z33" i="1"/>
  <c r="AA33" i="1"/>
  <c r="AB33" i="1"/>
  <c r="AC33" i="1"/>
  <c r="X34" i="1"/>
  <c r="Y34" i="1"/>
  <c r="Z34" i="1"/>
  <c r="AA34" i="1"/>
  <c r="AB34" i="1"/>
  <c r="AC34" i="1"/>
  <c r="X35" i="1"/>
  <c r="Y35" i="1"/>
  <c r="Z35" i="1"/>
  <c r="AA35" i="1"/>
  <c r="AB35" i="1"/>
  <c r="AC35" i="1"/>
  <c r="X36" i="1"/>
  <c r="Y36" i="1"/>
  <c r="Z36" i="1"/>
  <c r="AA36" i="1"/>
  <c r="AB36" i="1"/>
  <c r="AC36" i="1"/>
  <c r="X37" i="1"/>
  <c r="Y37" i="1"/>
  <c r="Z37" i="1"/>
  <c r="AA37" i="1"/>
  <c r="AB37" i="1"/>
  <c r="AC37" i="1"/>
  <c r="X38" i="1"/>
  <c r="Y38" i="1"/>
  <c r="Z38" i="1"/>
  <c r="AA38" i="1"/>
  <c r="AB38" i="1"/>
  <c r="AC38" i="1"/>
  <c r="X39" i="1"/>
  <c r="Y39" i="1"/>
  <c r="Z39" i="1"/>
  <c r="AA39" i="1"/>
  <c r="AB39" i="1"/>
  <c r="AC39" i="1"/>
  <c r="X40" i="1"/>
  <c r="Y40" i="1"/>
  <c r="Z40" i="1"/>
  <c r="AA40" i="1"/>
  <c r="AB40" i="1"/>
  <c r="AC40" i="1"/>
  <c r="X41" i="1"/>
  <c r="Y41" i="1"/>
  <c r="Z41" i="1"/>
  <c r="AA41" i="1"/>
  <c r="AB41" i="1"/>
  <c r="AC41" i="1"/>
  <c r="X42" i="1"/>
  <c r="Y42" i="1"/>
  <c r="Z42" i="1"/>
  <c r="AA42" i="1"/>
  <c r="AB42" i="1"/>
  <c r="AC42" i="1"/>
  <c r="X43" i="1"/>
  <c r="Y43" i="1"/>
  <c r="Z43" i="1"/>
  <c r="AA43" i="1"/>
  <c r="AB43" i="1"/>
  <c r="AC43" i="1"/>
  <c r="X44" i="1"/>
  <c r="Y44" i="1"/>
  <c r="Z44" i="1"/>
  <c r="AA44" i="1"/>
  <c r="AB44" i="1"/>
  <c r="AC44" i="1"/>
  <c r="X45" i="1"/>
  <c r="Y45" i="1"/>
  <c r="Z45" i="1"/>
  <c r="AA45" i="1"/>
  <c r="AB45" i="1"/>
  <c r="AC45" i="1"/>
  <c r="X46" i="1"/>
  <c r="Y46" i="1"/>
  <c r="Z46" i="1"/>
  <c r="AA46" i="1"/>
  <c r="AB46" i="1"/>
  <c r="AC46" i="1"/>
  <c r="X47" i="1"/>
  <c r="Y47" i="1"/>
  <c r="Z47" i="1"/>
  <c r="AA47" i="1"/>
  <c r="AB47" i="1"/>
  <c r="AC47" i="1"/>
  <c r="X48" i="1"/>
  <c r="Y48" i="1"/>
  <c r="Z48" i="1"/>
  <c r="AA48" i="1"/>
  <c r="AB48" i="1"/>
  <c r="AC48" i="1"/>
  <c r="X49" i="1"/>
  <c r="Y49" i="1"/>
  <c r="Z49" i="1"/>
  <c r="AA49" i="1"/>
  <c r="AB49" i="1"/>
  <c r="AC49" i="1"/>
  <c r="X50" i="1"/>
  <c r="Y50" i="1"/>
  <c r="Z50" i="1"/>
  <c r="AA50" i="1"/>
  <c r="AB50" i="1"/>
  <c r="AC50" i="1"/>
  <c r="X51" i="1"/>
  <c r="Y51" i="1"/>
  <c r="Z51" i="1"/>
  <c r="AA51" i="1"/>
  <c r="AB51" i="1"/>
  <c r="AC51" i="1"/>
  <c r="X52" i="1"/>
  <c r="Y52" i="1"/>
  <c r="Z52" i="1"/>
  <c r="AA52" i="1"/>
  <c r="AB52" i="1"/>
  <c r="AC52" i="1"/>
  <c r="X53" i="1"/>
  <c r="Y53" i="1"/>
  <c r="Z53" i="1"/>
  <c r="AA53" i="1"/>
  <c r="AB53" i="1"/>
  <c r="AC53" i="1"/>
  <c r="X54" i="1"/>
  <c r="Y54" i="1"/>
  <c r="Z54" i="1"/>
  <c r="AA54" i="1"/>
  <c r="AB54" i="1"/>
  <c r="AC54" i="1"/>
  <c r="X55" i="1"/>
  <c r="Y55" i="1"/>
  <c r="Z55" i="1"/>
  <c r="AA55" i="1"/>
  <c r="AB55" i="1"/>
  <c r="AC55" i="1"/>
  <c r="X56" i="1"/>
  <c r="Y56" i="1"/>
  <c r="Z56" i="1"/>
  <c r="AA56" i="1"/>
  <c r="AB56" i="1"/>
  <c r="AC56" i="1"/>
  <c r="X57" i="1"/>
  <c r="Y57" i="1"/>
  <c r="Z57" i="1"/>
  <c r="AA57" i="1"/>
  <c r="AB57" i="1"/>
  <c r="AC57" i="1"/>
  <c r="X58" i="1"/>
  <c r="Y58" i="1"/>
  <c r="Z58" i="1"/>
  <c r="AA58" i="1"/>
  <c r="AB58" i="1"/>
  <c r="AC58" i="1"/>
  <c r="X59" i="1"/>
  <c r="Y59" i="1"/>
  <c r="Z59" i="1"/>
  <c r="AA59" i="1"/>
  <c r="AB59" i="1"/>
  <c r="AC59" i="1"/>
  <c r="X60" i="1"/>
  <c r="Y60" i="1"/>
  <c r="Z60" i="1"/>
  <c r="AA60" i="1"/>
  <c r="AB60" i="1"/>
  <c r="AC60" i="1"/>
  <c r="X61" i="1"/>
  <c r="Y61" i="1"/>
  <c r="Z61" i="1"/>
  <c r="AA61" i="1"/>
  <c r="AB61" i="1"/>
  <c r="AC61" i="1"/>
  <c r="X62" i="1"/>
  <c r="Y62" i="1"/>
  <c r="Z62" i="1"/>
  <c r="AA62" i="1"/>
  <c r="AB62" i="1"/>
  <c r="AC62" i="1"/>
  <c r="X63" i="1"/>
  <c r="Y63" i="1"/>
  <c r="Z63" i="1"/>
  <c r="AA63" i="1"/>
  <c r="AB63" i="1"/>
  <c r="AC63" i="1"/>
  <c r="X64" i="1"/>
  <c r="Y64" i="1"/>
  <c r="Z64" i="1"/>
  <c r="AA64" i="1"/>
  <c r="AB64" i="1"/>
  <c r="AC64" i="1"/>
  <c r="X65" i="1"/>
  <c r="Y65" i="1"/>
  <c r="Z65" i="1"/>
  <c r="AA65" i="1"/>
  <c r="AB65" i="1"/>
  <c r="AC65" i="1"/>
  <c r="X66" i="1"/>
  <c r="Y66" i="1"/>
  <c r="Z66" i="1"/>
  <c r="AA66" i="1"/>
  <c r="AB66" i="1"/>
  <c r="AC66" i="1"/>
  <c r="X67" i="1"/>
  <c r="Y67" i="1"/>
  <c r="Z67" i="1"/>
  <c r="AA67" i="1"/>
  <c r="AB67" i="1"/>
  <c r="AC67" i="1"/>
  <c r="X68" i="1"/>
  <c r="Y68" i="1"/>
  <c r="Z68" i="1"/>
  <c r="AA68" i="1"/>
  <c r="AB68" i="1"/>
  <c r="AC68" i="1"/>
  <c r="X69" i="1"/>
  <c r="Y69" i="1"/>
  <c r="Z69" i="1"/>
  <c r="AA69" i="1"/>
  <c r="AB69" i="1"/>
  <c r="AC69" i="1"/>
  <c r="X70" i="1"/>
  <c r="Y70" i="1"/>
  <c r="Z70" i="1"/>
  <c r="AA70" i="1"/>
  <c r="AB70" i="1"/>
  <c r="AC70" i="1"/>
  <c r="X71" i="1"/>
  <c r="Y71" i="1"/>
  <c r="Z71" i="1"/>
  <c r="AA71" i="1"/>
  <c r="AB71" i="1"/>
  <c r="AC71" i="1"/>
  <c r="X72" i="1"/>
  <c r="Y72" i="1"/>
  <c r="Z72" i="1"/>
  <c r="AA72" i="1"/>
  <c r="AB72" i="1"/>
  <c r="AC72" i="1"/>
  <c r="X73" i="1"/>
  <c r="Y73" i="1"/>
  <c r="Z73" i="1"/>
  <c r="AA73" i="1"/>
  <c r="AB73" i="1"/>
  <c r="AC73" i="1"/>
  <c r="X74" i="1"/>
  <c r="Y74" i="1"/>
  <c r="Z74" i="1"/>
  <c r="AA74" i="1"/>
  <c r="AB74" i="1"/>
  <c r="AC74" i="1"/>
  <c r="X75" i="1"/>
  <c r="Y75" i="1"/>
  <c r="Z75" i="1"/>
  <c r="AA75" i="1"/>
  <c r="AB75" i="1"/>
  <c r="AC75" i="1"/>
  <c r="X76" i="1"/>
  <c r="Y76" i="1"/>
  <c r="Z76" i="1"/>
  <c r="AA76" i="1"/>
  <c r="AB76" i="1"/>
  <c r="AC76" i="1"/>
  <c r="X77" i="1"/>
  <c r="Y77" i="1"/>
  <c r="Z77" i="1"/>
  <c r="AA77" i="1"/>
  <c r="AB77" i="1"/>
  <c r="AC77" i="1"/>
  <c r="X78" i="1"/>
  <c r="Y78" i="1"/>
  <c r="Z78" i="1"/>
  <c r="AA78" i="1"/>
  <c r="AB78" i="1"/>
  <c r="AC78" i="1"/>
  <c r="X79" i="1"/>
  <c r="Y79" i="1"/>
  <c r="Z79" i="1"/>
  <c r="AA79" i="1"/>
  <c r="AB79" i="1"/>
  <c r="AC79" i="1"/>
  <c r="X80" i="1"/>
  <c r="Y80" i="1"/>
  <c r="Z80" i="1"/>
  <c r="AA80" i="1"/>
  <c r="AB80" i="1"/>
  <c r="AC80" i="1"/>
  <c r="X81" i="1"/>
  <c r="Y81" i="1"/>
  <c r="Z81" i="1"/>
  <c r="AA81" i="1"/>
  <c r="AB81" i="1"/>
  <c r="AC81" i="1"/>
  <c r="X82" i="1"/>
  <c r="Y82" i="1"/>
  <c r="Z82" i="1"/>
  <c r="AA82" i="1"/>
  <c r="AB82" i="1"/>
  <c r="AC82" i="1"/>
  <c r="X83" i="1"/>
  <c r="Y83" i="1"/>
  <c r="Z83" i="1"/>
  <c r="AA83" i="1"/>
  <c r="AB83" i="1"/>
  <c r="AC83" i="1"/>
  <c r="X84" i="1"/>
  <c r="Y84" i="1"/>
  <c r="Z84" i="1"/>
  <c r="AA84" i="1"/>
  <c r="AB84" i="1"/>
  <c r="AC84" i="1"/>
  <c r="X85" i="1"/>
  <c r="Y85" i="1"/>
  <c r="Z85" i="1"/>
  <c r="AA85" i="1"/>
  <c r="AB85" i="1"/>
  <c r="AC85" i="1"/>
  <c r="X86" i="1"/>
  <c r="Y86" i="1"/>
  <c r="Z86" i="1"/>
  <c r="AA86" i="1"/>
  <c r="AB86" i="1"/>
  <c r="AC86" i="1"/>
  <c r="X87" i="1"/>
  <c r="Y87" i="1"/>
  <c r="Z87" i="1"/>
  <c r="AA87" i="1"/>
  <c r="AB87" i="1"/>
  <c r="AC87" i="1"/>
  <c r="X88" i="1"/>
  <c r="Y88" i="1"/>
  <c r="Z88" i="1"/>
  <c r="AA88" i="1"/>
  <c r="AB88" i="1"/>
  <c r="AC88" i="1"/>
  <c r="X89" i="1"/>
  <c r="Y89" i="1"/>
  <c r="Z89" i="1"/>
  <c r="AA89" i="1"/>
  <c r="AB89" i="1"/>
  <c r="AC89" i="1"/>
  <c r="X90" i="1"/>
  <c r="Y90" i="1"/>
  <c r="Z90" i="1"/>
  <c r="AA90" i="1"/>
  <c r="AB90" i="1"/>
  <c r="AC90" i="1"/>
  <c r="X91" i="1"/>
  <c r="Y91" i="1"/>
  <c r="Z91" i="1"/>
  <c r="AA91" i="1"/>
  <c r="AB91" i="1"/>
  <c r="AC91" i="1"/>
  <c r="X92" i="1"/>
  <c r="Y92" i="1"/>
  <c r="Z92" i="1"/>
  <c r="AA92" i="1"/>
  <c r="AB92" i="1"/>
  <c r="AC92" i="1"/>
  <c r="X93" i="1"/>
  <c r="Y93" i="1"/>
  <c r="Z93" i="1"/>
  <c r="AA93" i="1"/>
  <c r="AB93" i="1"/>
  <c r="AC93" i="1"/>
  <c r="X94" i="1"/>
  <c r="Y94" i="1"/>
  <c r="Z94" i="1"/>
  <c r="AA94" i="1"/>
  <c r="AB94" i="1"/>
  <c r="AC94" i="1"/>
  <c r="X95" i="1"/>
  <c r="Y95" i="1"/>
  <c r="Z95" i="1"/>
  <c r="AA95" i="1"/>
  <c r="AB95" i="1"/>
  <c r="AC95" i="1"/>
  <c r="X96" i="1"/>
  <c r="Y96" i="1"/>
  <c r="Z96" i="1"/>
  <c r="AA96" i="1"/>
  <c r="AB96" i="1"/>
  <c r="AC96" i="1"/>
  <c r="X97" i="1"/>
  <c r="Y97" i="1"/>
  <c r="Z97" i="1"/>
  <c r="AA97" i="1"/>
  <c r="AB97" i="1"/>
  <c r="AC97" i="1"/>
  <c r="X98" i="1"/>
  <c r="Y98" i="1"/>
  <c r="Z98" i="1"/>
  <c r="AA98" i="1"/>
  <c r="AB98" i="1"/>
  <c r="AC98" i="1"/>
  <c r="X99" i="1"/>
  <c r="Y99" i="1"/>
  <c r="Z99" i="1"/>
  <c r="AA99" i="1"/>
  <c r="AB99" i="1"/>
  <c r="AC99" i="1"/>
  <c r="X100" i="1"/>
  <c r="Y100" i="1"/>
  <c r="Z100" i="1"/>
  <c r="AA100" i="1"/>
  <c r="AB100" i="1"/>
  <c r="AC100" i="1"/>
  <c r="X101" i="1"/>
  <c r="Y101" i="1"/>
  <c r="Z101" i="1"/>
  <c r="AA101" i="1"/>
  <c r="AB101" i="1"/>
  <c r="AC101" i="1"/>
  <c r="X102" i="1"/>
  <c r="Y102" i="1"/>
  <c r="Z102" i="1"/>
  <c r="AA102" i="1"/>
  <c r="AB102" i="1"/>
  <c r="AC102" i="1"/>
  <c r="X103" i="1"/>
  <c r="Y103" i="1"/>
  <c r="Z103" i="1"/>
  <c r="AA103" i="1"/>
  <c r="AB103" i="1"/>
  <c r="AC103" i="1"/>
  <c r="X104" i="1"/>
  <c r="Y104" i="1"/>
  <c r="Z104" i="1"/>
  <c r="AA104" i="1"/>
  <c r="AB104" i="1"/>
  <c r="AC104" i="1"/>
  <c r="X105" i="1"/>
  <c r="Y105" i="1"/>
  <c r="Z105" i="1"/>
  <c r="AA105" i="1"/>
  <c r="AB105" i="1"/>
  <c r="AC105" i="1"/>
  <c r="X106" i="1"/>
  <c r="Y106" i="1"/>
  <c r="Z106" i="1"/>
  <c r="AA106" i="1"/>
  <c r="AB106" i="1"/>
  <c r="AC106" i="1"/>
  <c r="AD106" i="1" s="1"/>
  <c r="X107" i="1"/>
  <c r="Y107" i="1"/>
  <c r="Z107" i="1"/>
  <c r="AA107" i="1"/>
  <c r="AB107" i="1"/>
  <c r="AC107" i="1"/>
  <c r="X108" i="1"/>
  <c r="Y108" i="1"/>
  <c r="Z108" i="1"/>
  <c r="AA108" i="1"/>
  <c r="AB108" i="1"/>
  <c r="AC108" i="1"/>
  <c r="X109" i="1"/>
  <c r="Y109" i="1"/>
  <c r="Z109" i="1"/>
  <c r="AA109" i="1"/>
  <c r="AB109" i="1"/>
  <c r="AC109" i="1"/>
  <c r="X110" i="1"/>
  <c r="Y110" i="1"/>
  <c r="Z110" i="1"/>
  <c r="AA110" i="1"/>
  <c r="AB110" i="1"/>
  <c r="AC110" i="1"/>
  <c r="X111" i="1"/>
  <c r="Y111" i="1"/>
  <c r="Z111" i="1"/>
  <c r="AA111" i="1"/>
  <c r="AB111" i="1"/>
  <c r="AC111" i="1"/>
  <c r="X112" i="1"/>
  <c r="Y112" i="1"/>
  <c r="Z112" i="1"/>
  <c r="AA112" i="1"/>
  <c r="AB112" i="1"/>
  <c r="AC112" i="1"/>
  <c r="X113" i="1"/>
  <c r="Y113" i="1"/>
  <c r="Z113" i="1"/>
  <c r="AA113" i="1"/>
  <c r="AB113" i="1"/>
  <c r="AC113" i="1"/>
  <c r="X114" i="1"/>
  <c r="Y114" i="1"/>
  <c r="Z114" i="1"/>
  <c r="AA114" i="1"/>
  <c r="AB114" i="1"/>
  <c r="AC114" i="1"/>
  <c r="X115" i="1"/>
  <c r="Y115" i="1"/>
  <c r="Z115" i="1"/>
  <c r="AA115" i="1"/>
  <c r="AB115" i="1"/>
  <c r="AC115" i="1"/>
  <c r="X116" i="1"/>
  <c r="Y116" i="1"/>
  <c r="Z116" i="1"/>
  <c r="AA116" i="1"/>
  <c r="AB116" i="1"/>
  <c r="AC116" i="1"/>
  <c r="X117" i="1"/>
  <c r="Y117" i="1"/>
  <c r="Z117" i="1"/>
  <c r="AA117" i="1"/>
  <c r="AB117" i="1"/>
  <c r="AC117" i="1"/>
  <c r="X118" i="1"/>
  <c r="Y118" i="1"/>
  <c r="Z118" i="1"/>
  <c r="AA118" i="1"/>
  <c r="AB118" i="1"/>
  <c r="AC118" i="1"/>
  <c r="X119" i="1"/>
  <c r="Y119" i="1"/>
  <c r="Z119" i="1"/>
  <c r="AA119" i="1"/>
  <c r="AB119" i="1"/>
  <c r="AC119" i="1"/>
  <c r="X120" i="1"/>
  <c r="Y120" i="1"/>
  <c r="Z120" i="1"/>
  <c r="AA120" i="1"/>
  <c r="AB120" i="1"/>
  <c r="AC120" i="1"/>
  <c r="X121" i="1"/>
  <c r="Y121" i="1"/>
  <c r="Z121" i="1"/>
  <c r="AA121" i="1"/>
  <c r="AB121" i="1"/>
  <c r="AC121" i="1"/>
  <c r="X122" i="1"/>
  <c r="Y122" i="1"/>
  <c r="Z122" i="1"/>
  <c r="AA122" i="1"/>
  <c r="AB122" i="1"/>
  <c r="AC122" i="1"/>
  <c r="X123" i="1"/>
  <c r="Y123" i="1"/>
  <c r="Z123" i="1"/>
  <c r="AA123" i="1"/>
  <c r="AB123" i="1"/>
  <c r="AC123" i="1"/>
  <c r="X124" i="1"/>
  <c r="Y124" i="1"/>
  <c r="Z124" i="1"/>
  <c r="AA124" i="1"/>
  <c r="AB124" i="1"/>
  <c r="AC124" i="1"/>
  <c r="X125" i="1"/>
  <c r="Y125" i="1"/>
  <c r="Z125" i="1"/>
  <c r="AA125" i="1"/>
  <c r="AB125" i="1"/>
  <c r="AC125" i="1"/>
  <c r="X126" i="1"/>
  <c r="Y126" i="1"/>
  <c r="Z126" i="1"/>
  <c r="AA126" i="1"/>
  <c r="AB126" i="1"/>
  <c r="AC126" i="1"/>
  <c r="X127" i="1"/>
  <c r="Y127" i="1"/>
  <c r="Z127" i="1"/>
  <c r="AA127" i="1"/>
  <c r="AB127" i="1"/>
  <c r="AC127" i="1"/>
  <c r="X128" i="1"/>
  <c r="Y128" i="1"/>
  <c r="Z128" i="1"/>
  <c r="AA128" i="1"/>
  <c r="AB128" i="1"/>
  <c r="AC128" i="1"/>
  <c r="X129" i="1"/>
  <c r="Y129" i="1"/>
  <c r="Z129" i="1"/>
  <c r="AA129" i="1"/>
  <c r="AB129" i="1"/>
  <c r="AC129" i="1"/>
  <c r="X130" i="1"/>
  <c r="Y130" i="1"/>
  <c r="Z130" i="1"/>
  <c r="AA130" i="1"/>
  <c r="AB130" i="1"/>
  <c r="AC130" i="1"/>
  <c r="X131" i="1"/>
  <c r="Y131" i="1"/>
  <c r="Z131" i="1"/>
  <c r="AA131" i="1"/>
  <c r="AB131" i="1"/>
  <c r="AC131" i="1"/>
  <c r="X132" i="1"/>
  <c r="Y132" i="1"/>
  <c r="Z132" i="1"/>
  <c r="AA132" i="1"/>
  <c r="AB132" i="1"/>
  <c r="AC132" i="1"/>
  <c r="X133" i="1"/>
  <c r="Y133" i="1"/>
  <c r="Z133" i="1"/>
  <c r="AA133" i="1"/>
  <c r="AB133" i="1"/>
  <c r="AC133" i="1"/>
  <c r="X134" i="1"/>
  <c r="Y134" i="1"/>
  <c r="Z134" i="1"/>
  <c r="AA134" i="1"/>
  <c r="AB134" i="1"/>
  <c r="AC134" i="1"/>
  <c r="X135" i="1"/>
  <c r="Y135" i="1"/>
  <c r="Z135" i="1"/>
  <c r="AA135" i="1"/>
  <c r="AB135" i="1"/>
  <c r="AC135" i="1"/>
  <c r="X136" i="1"/>
  <c r="Y136" i="1"/>
  <c r="Z136" i="1"/>
  <c r="AA136" i="1"/>
  <c r="AB136" i="1"/>
  <c r="AC136" i="1"/>
  <c r="X137" i="1"/>
  <c r="Y137" i="1"/>
  <c r="Z137" i="1"/>
  <c r="AA137" i="1"/>
  <c r="AB137" i="1"/>
  <c r="AC137" i="1"/>
  <c r="X138" i="1"/>
  <c r="Y138" i="1"/>
  <c r="Z138" i="1"/>
  <c r="AA138" i="1"/>
  <c r="AB138" i="1"/>
  <c r="AC138" i="1"/>
  <c r="X139" i="1"/>
  <c r="Y139" i="1"/>
  <c r="Z139" i="1"/>
  <c r="AA139" i="1"/>
  <c r="AB139" i="1"/>
  <c r="AC139" i="1"/>
  <c r="X140" i="1"/>
  <c r="Y140" i="1"/>
  <c r="Z140" i="1"/>
  <c r="AA140" i="1"/>
  <c r="AB140" i="1"/>
  <c r="AC140" i="1"/>
  <c r="X141" i="1"/>
  <c r="Y141" i="1"/>
  <c r="Z141" i="1"/>
  <c r="AA141" i="1"/>
  <c r="AB141" i="1"/>
  <c r="AC141" i="1"/>
  <c r="X142" i="1"/>
  <c r="Y142" i="1"/>
  <c r="Z142" i="1"/>
  <c r="AA142" i="1"/>
  <c r="AB142" i="1"/>
  <c r="AC142" i="1"/>
  <c r="X143" i="1"/>
  <c r="Y143" i="1"/>
  <c r="Z143" i="1"/>
  <c r="AA143" i="1"/>
  <c r="AB143" i="1"/>
  <c r="AC143" i="1"/>
  <c r="X144" i="1"/>
  <c r="Y144" i="1"/>
  <c r="Z144" i="1"/>
  <c r="AA144" i="1"/>
  <c r="AB144" i="1"/>
  <c r="AC144" i="1"/>
  <c r="X145" i="1"/>
  <c r="Y145" i="1"/>
  <c r="Z145" i="1"/>
  <c r="AA145" i="1"/>
  <c r="AB145" i="1"/>
  <c r="AC145" i="1"/>
  <c r="X146" i="1"/>
  <c r="Y146" i="1"/>
  <c r="Z146" i="1"/>
  <c r="AA146" i="1"/>
  <c r="AB146" i="1"/>
  <c r="AC146" i="1"/>
  <c r="X147" i="1"/>
  <c r="Y147" i="1"/>
  <c r="Z147" i="1"/>
  <c r="AA147" i="1"/>
  <c r="AB147" i="1"/>
  <c r="AC147" i="1"/>
  <c r="X148" i="1"/>
  <c r="Y148" i="1"/>
  <c r="Z148" i="1"/>
  <c r="AA148" i="1"/>
  <c r="AB148" i="1"/>
  <c r="AC148" i="1"/>
  <c r="X149" i="1"/>
  <c r="Y149" i="1"/>
  <c r="Z149" i="1"/>
  <c r="AA149" i="1"/>
  <c r="AB149" i="1"/>
  <c r="AC149" i="1"/>
  <c r="X150" i="1"/>
  <c r="Y150" i="1"/>
  <c r="Z150" i="1"/>
  <c r="AA150" i="1"/>
  <c r="AB150" i="1"/>
  <c r="AC150" i="1"/>
  <c r="X151" i="1"/>
  <c r="Y151" i="1"/>
  <c r="Z151" i="1"/>
  <c r="AA151" i="1"/>
  <c r="AB151" i="1"/>
  <c r="AC151" i="1"/>
  <c r="X152" i="1"/>
  <c r="Y152" i="1"/>
  <c r="Z152" i="1"/>
  <c r="AA152" i="1"/>
  <c r="AB152" i="1"/>
  <c r="AC152" i="1"/>
  <c r="X153" i="1"/>
  <c r="Y153" i="1"/>
  <c r="Z153" i="1"/>
  <c r="AA153" i="1"/>
  <c r="AB153" i="1"/>
  <c r="AC153" i="1"/>
  <c r="AD147" i="1" l="1"/>
  <c r="AD139" i="1"/>
  <c r="AD115" i="1"/>
  <c r="AD83" i="1"/>
  <c r="AD71" i="1"/>
  <c r="AD6" i="1"/>
  <c r="AD140" i="1"/>
  <c r="AD44" i="1"/>
  <c r="AD148" i="1"/>
  <c r="AD152" i="1"/>
  <c r="AD144" i="1"/>
  <c r="AD108" i="1"/>
  <c r="AD88" i="1"/>
  <c r="AD84" i="1"/>
  <c r="AD76" i="1"/>
  <c r="AD79" i="1"/>
  <c r="AD65" i="1"/>
  <c r="AD61" i="1"/>
  <c r="AD21" i="1"/>
  <c r="AD9" i="1"/>
  <c r="AD143" i="1"/>
  <c r="AD150" i="1"/>
  <c r="AD146" i="1"/>
  <c r="AD142" i="1"/>
  <c r="AD138" i="1"/>
  <c r="AD136" i="1"/>
  <c r="AD134" i="1"/>
  <c r="AD132" i="1"/>
  <c r="AD130" i="1"/>
  <c r="AD128" i="1"/>
  <c r="AD126" i="1"/>
  <c r="AD124" i="1"/>
  <c r="AD122" i="1"/>
  <c r="AD120" i="1"/>
  <c r="AD118" i="1"/>
  <c r="AD116" i="1"/>
  <c r="AD114" i="1"/>
  <c r="AD112" i="1"/>
  <c r="AD110" i="1"/>
  <c r="AD104" i="1"/>
  <c r="AD102" i="1"/>
  <c r="AD100" i="1"/>
  <c r="AD98" i="1"/>
  <c r="AD96" i="1"/>
  <c r="AD94" i="1"/>
  <c r="AD92" i="1"/>
  <c r="AD90" i="1"/>
  <c r="AD86" i="1"/>
  <c r="AD82" i="1"/>
  <c r="AD80" i="1"/>
  <c r="AD78" i="1"/>
  <c r="AD74" i="1"/>
  <c r="AD72" i="1"/>
  <c r="AD70" i="1"/>
  <c r="AD68" i="1"/>
  <c r="AD66" i="1"/>
  <c r="AD64" i="1"/>
  <c r="AD62" i="1"/>
  <c r="AD60" i="1"/>
  <c r="AD58" i="1"/>
  <c r="AD56" i="1"/>
  <c r="AD54" i="1"/>
  <c r="AD52" i="1"/>
  <c r="AD50" i="1"/>
  <c r="AD48" i="1"/>
  <c r="AD46" i="1"/>
  <c r="AD42" i="1"/>
  <c r="AD40" i="1"/>
  <c r="AD38" i="1"/>
  <c r="AD36" i="1"/>
  <c r="AD34" i="1"/>
  <c r="AD32" i="1"/>
  <c r="AD30" i="1"/>
  <c r="AD28" i="1"/>
  <c r="AD26" i="1"/>
  <c r="AD24" i="1"/>
  <c r="AD22" i="1"/>
  <c r="AD20" i="1"/>
  <c r="AD16" i="1"/>
  <c r="AD14" i="1"/>
  <c r="AD12" i="1"/>
  <c r="AD10" i="1"/>
  <c r="AD8" i="1"/>
  <c r="AD153" i="1"/>
  <c r="AD151" i="1"/>
  <c r="AD149" i="1"/>
  <c r="AD145" i="1"/>
  <c r="AD141" i="1"/>
  <c r="AD137" i="1"/>
  <c r="AD135" i="1"/>
  <c r="AD133" i="1"/>
  <c r="AD131" i="1"/>
  <c r="AD129" i="1"/>
  <c r="AD127" i="1"/>
  <c r="AD125" i="1"/>
  <c r="AD123" i="1"/>
  <c r="AD121" i="1"/>
  <c r="AD119" i="1"/>
  <c r="AD117" i="1"/>
  <c r="AD113" i="1"/>
  <c r="AD111" i="1"/>
  <c r="AD109" i="1"/>
  <c r="AD107" i="1"/>
  <c r="AD105" i="1"/>
  <c r="AD103" i="1"/>
  <c r="AD101" i="1"/>
  <c r="AD99" i="1"/>
  <c r="AD97" i="1"/>
  <c r="AD95" i="1"/>
  <c r="AD93" i="1"/>
  <c r="AD91" i="1"/>
  <c r="AD89" i="1"/>
  <c r="AD87" i="1"/>
  <c r="AD85" i="1"/>
  <c r="AD81" i="1"/>
  <c r="AD77" i="1"/>
  <c r="AD75" i="1"/>
  <c r="AD73" i="1"/>
  <c r="AD69" i="1"/>
  <c r="AD67" i="1"/>
  <c r="AD63" i="1"/>
  <c r="AD59" i="1"/>
  <c r="AD57" i="1"/>
  <c r="AD55" i="1"/>
  <c r="AD53" i="1"/>
  <c r="AD51" i="1"/>
  <c r="AD49" i="1"/>
  <c r="AD47" i="1"/>
  <c r="AD45" i="1"/>
  <c r="AD43" i="1"/>
  <c r="AD41" i="1"/>
  <c r="AD39" i="1"/>
  <c r="AD37" i="1"/>
  <c r="AD35" i="1"/>
  <c r="AD33" i="1"/>
  <c r="AD31" i="1"/>
  <c r="AD29" i="1"/>
  <c r="AD27" i="1"/>
  <c r="AD25" i="1"/>
  <c r="AD23" i="1"/>
  <c r="AD19" i="1"/>
  <c r="AD17" i="1"/>
  <c r="AD15" i="1"/>
  <c r="AD13" i="1"/>
  <c r="AD11" i="1"/>
  <c r="AD7" i="1"/>
  <c r="AC5" i="1"/>
  <c r="AC154" i="1" s="1"/>
  <c r="AE146" i="1" l="1"/>
  <c r="AE79" i="1"/>
  <c r="AE43" i="1"/>
  <c r="D17" i="13"/>
  <c r="E17" i="13" s="1"/>
  <c r="D16" i="13"/>
  <c r="E16" i="13" s="1"/>
  <c r="D15" i="13"/>
  <c r="E15" i="13" s="1"/>
  <c r="D14" i="13"/>
  <c r="E14" i="13" s="1"/>
  <c r="D13" i="13"/>
  <c r="E13" i="13" s="1"/>
  <c r="D12" i="13"/>
  <c r="E12" i="13" s="1"/>
  <c r="D11" i="13"/>
  <c r="E11" i="13" s="1"/>
  <c r="D10" i="13"/>
  <c r="E10" i="13" s="1"/>
  <c r="D9" i="13"/>
  <c r="E9" i="13" s="1"/>
  <c r="D8" i="13"/>
  <c r="E8" i="13" s="1"/>
  <c r="D7" i="13"/>
  <c r="E7" i="13" s="1"/>
  <c r="A6" i="13"/>
  <c r="D32" i="12" l="1"/>
  <c r="C25" i="5"/>
  <c r="B4" i="10"/>
  <c r="X5" i="1"/>
  <c r="X154" i="1" s="1"/>
  <c r="Y5" i="1"/>
  <c r="Y154" i="1" s="1"/>
  <c r="Z5" i="1"/>
  <c r="Z154" i="1" s="1"/>
  <c r="AA5" i="1"/>
  <c r="AA154" i="1" s="1"/>
  <c r="AB5" i="1"/>
  <c r="AB154" i="1" s="1"/>
  <c r="AD5" i="1" l="1"/>
  <c r="AE5" i="1" s="1"/>
  <c r="AE72" i="1"/>
  <c r="AE115" i="1"/>
  <c r="AE139" i="1" l="1"/>
  <c r="AE134" i="1"/>
  <c r="AE118" i="1"/>
  <c r="AE110" i="1"/>
  <c r="AE99" i="1"/>
  <c r="AE73" i="1"/>
  <c r="AE55" i="1"/>
  <c r="D6" i="13" l="1"/>
  <c r="E6" i="13" s="1"/>
  <c r="AE154" i="1"/>
  <c r="A4" i="10" s="1"/>
</calcChain>
</file>

<file path=xl/sharedStrings.xml><?xml version="1.0" encoding="utf-8"?>
<sst xmlns="http://schemas.openxmlformats.org/spreadsheetml/2006/main" count="550" uniqueCount="490">
  <si>
    <t>F</t>
  </si>
  <si>
    <t>NO.</t>
  </si>
  <si>
    <t>Misión, visión y valores</t>
  </si>
  <si>
    <t>Gestión empresarial</t>
  </si>
  <si>
    <t>Manuales de organización, políticas y procedimientos</t>
  </si>
  <si>
    <t>Comunicación, transparencia y rendición de cuentas</t>
  </si>
  <si>
    <t>Medidas anticorrupción</t>
  </si>
  <si>
    <t>EVIDENCIAS</t>
  </si>
  <si>
    <t>NE</t>
  </si>
  <si>
    <t>DO</t>
  </si>
  <si>
    <t>DP</t>
  </si>
  <si>
    <t>DI</t>
  </si>
  <si>
    <t>MR</t>
  </si>
  <si>
    <t>Observaciones</t>
  </si>
  <si>
    <t>Está legalmente constituido</t>
  </si>
  <si>
    <t>Cumple con las medidas de protección civil requeridas</t>
  </si>
  <si>
    <t>Aplica la normatividad laboral vigente</t>
  </si>
  <si>
    <t>Cumple con la normatividad medio ambiental vigente</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</si>
  <si>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</si>
  <si>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</si>
  <si>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</si>
  <si>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</si>
  <si>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</si>
  <si>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</si>
  <si>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</si>
  <si>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</si>
  <si>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</si>
  <si>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</si>
  <si>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</si>
  <si>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</si>
  <si>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</si>
  <si>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</si>
  <si>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</si>
  <si>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Prácticas laborales</t>
  </si>
  <si>
    <t>Respeto al derecho laboral de los trabajadores</t>
  </si>
  <si>
    <t>Salud, seguridad e higiene en el trabajo</t>
  </si>
  <si>
    <t>Protección civil</t>
  </si>
  <si>
    <t>Desarrollo humano y formación del personal</t>
  </si>
  <si>
    <t>Inversionistas</t>
  </si>
  <si>
    <t>Inversión y rendimientos justos</t>
  </si>
  <si>
    <t>Proveedores</t>
  </si>
  <si>
    <t>Selección, contratación y pago a proveedores</t>
  </si>
  <si>
    <t>Calidad de la proveeduría y alineamiento a la Responsabilidad Social</t>
  </si>
  <si>
    <t>Desarrollo de proveedores</t>
  </si>
  <si>
    <t>Clientes</t>
  </si>
  <si>
    <t>Atención y satisfacción del cliente</t>
  </si>
  <si>
    <t>Resolución de quejas y controversias</t>
  </si>
  <si>
    <t>Prácticas comerciales</t>
  </si>
  <si>
    <t>Protección y privacidad de los datos de los consumidores</t>
  </si>
  <si>
    <t>Competencia</t>
  </si>
  <si>
    <t>Autoridad y legalidad</t>
  </si>
  <si>
    <t>Medio ambiente</t>
  </si>
  <si>
    <t>Uso sustentable de recursos naturales</t>
  </si>
  <si>
    <t>Desarrollo social y comunitario</t>
  </si>
  <si>
    <t>Impulso al desarrollo social</t>
  </si>
  <si>
    <t>Acciones para el desarrollo comunitario</t>
  </si>
  <si>
    <t>Procesos y mejora continua</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</si>
  <si>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</si>
  <si>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</si>
  <si>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</si>
  <si>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</si>
  <si>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</si>
  <si>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</si>
  <si>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</si>
  <si>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</si>
  <si>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</si>
  <si>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</si>
  <si>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</si>
  <si>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</si>
  <si>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</si>
  <si>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</si>
  <si>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</si>
  <si>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</si>
  <si>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</si>
  <si>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</si>
  <si>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</si>
  <si>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</si>
  <si>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</si>
  <si>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</si>
  <si>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</si>
  <si>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</si>
  <si>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</si>
  <si>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</si>
  <si>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</si>
  <si>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</si>
  <si>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</si>
  <si>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</si>
  <si>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</si>
  <si>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</si>
  <si>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</si>
  <si>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</si>
  <si>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t>Subsector Arrendadoras</t>
  </si>
  <si>
    <t>Normas Mexicanas (NMX) aplicables al subsector</t>
  </si>
  <si>
    <r>
      <rPr>
        <sz val="11"/>
        <color theme="1"/>
        <rFont val="Soberana Sans Light"/>
        <family val="3"/>
      </rPr>
      <t>Certificado de Calidad Ambiental turística Normas Mexicanas:</t>
    </r>
    <r>
      <rPr>
        <b/>
        <sz val="11"/>
        <color theme="1"/>
        <rFont val="Soberana Sans Light"/>
        <family val="3"/>
      </rPr>
      <t xml:space="preserve"> NMX_AA-162-SCFI-2012 y NMX-AA-163-SCFI-2012</t>
    </r>
  </si>
  <si>
    <r>
      <rPr>
        <b/>
        <sz val="11"/>
        <color theme="1"/>
        <rFont val="Soberana Sans Light"/>
        <family val="3"/>
      </rP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</si>
  <si>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r>
      <rPr>
        <b/>
        <sz val="11"/>
        <color theme="1"/>
        <rFont val="Soberana Sans Light"/>
        <family val="3"/>
      </rPr>
      <t xml:space="preserve">NMX-AA-163-SCFI-2012.  </t>
    </r>
    <r>
      <rPr>
        <sz val="11"/>
        <color theme="1"/>
        <rFont val="Soberana Sans Light"/>
        <family val="3"/>
      </rPr>
      <t>Auditoría Ambiental-Procedimiento y Requisitos para elaborar un Reporte de Desempeño Ambiental de las Empresas</t>
    </r>
  </si>
  <si>
    <r>
      <rPr>
        <b/>
        <sz val="11"/>
        <color theme="1"/>
        <rFont val="Soberana Sans Light"/>
        <family val="3"/>
      </rPr>
      <t>NMX-CC-10001-IMNC-2012.-</t>
    </r>
    <r>
      <rPr>
        <sz val="11"/>
        <color theme="1"/>
        <rFont val="Soberana Sans Light"/>
        <family val="3"/>
      </rPr>
      <t xml:space="preserve"> Gestión de calidad-Satisfacción del cliente-Directrices para los códigos de conducta de las organizaciones</t>
    </r>
    <r>
      <rPr>
        <b/>
        <sz val="11"/>
        <color theme="1"/>
        <rFont val="Soberana Sans Light"/>
        <family val="3"/>
      </rPr>
      <t xml:space="preserve">
</t>
    </r>
    <r>
      <rPr>
        <sz val="11"/>
        <color theme="1"/>
        <rFont val="Soberana Sans Light"/>
        <family val="3"/>
      </rPr>
      <t>Gestión de la calidad. Satisfacción del cliente. Directrices para el tratamiento de las quejas en las organizaciones</t>
    </r>
  </si>
  <si>
    <r>
      <rPr>
        <b/>
        <sz val="11"/>
        <color theme="1"/>
        <rFont val="Soberana Sans Light"/>
        <family val="3"/>
      </rPr>
      <t xml:space="preserve">NMX-CC-10002-IMNC-2005.- </t>
    </r>
    <r>
      <rPr>
        <sz val="11"/>
        <color theme="1"/>
        <rFont val="Soberana Sans Light"/>
        <family val="3"/>
      </rPr>
      <t>Gestión de la calidad-Satisfacción del cliente-Directrices para el tratamiento de quejas en las organizaciones</t>
    </r>
  </si>
  <si>
    <r>
      <rPr>
        <b/>
        <sz val="11"/>
        <color theme="1"/>
        <rFont val="Soberana Sans Light"/>
        <family val="3"/>
      </rPr>
      <t xml:space="preserve">NMX-CC-10003-INMC-2012.- </t>
    </r>
    <r>
      <rPr>
        <sz val="11"/>
        <color theme="1"/>
        <rFont val="Soberana Sans Light"/>
        <family val="3"/>
      </rPr>
      <t>Gestión de la calidad - Satisfacción del cliente - Directrices para la resolución de conflictos externa a las organizaciones</t>
    </r>
  </si>
  <si>
    <r>
      <rPr>
        <b/>
        <sz val="11"/>
        <color theme="1"/>
        <rFont val="Soberana Sans Light"/>
        <family val="3"/>
      </rPr>
      <t>NMX-CC-9001-IMNC-2008.-  (Equivalente nacional de ISO 9001:2008)</t>
    </r>
    <r>
      <rPr>
        <sz val="11"/>
        <color theme="1"/>
        <rFont val="Soberana Sans Light"/>
        <family val="3"/>
      </rPr>
      <t xml:space="preserve"> Sistema de Gestión de la Calidad-Requisitos</t>
    </r>
  </si>
  <si>
    <r>
      <rPr>
        <b/>
        <sz val="11"/>
        <color theme="1"/>
        <rFont val="Soberana Sans Light"/>
        <family val="3"/>
      </rPr>
      <t>NMX-CC-9004-IMNC-2009.-</t>
    </r>
    <r>
      <rPr>
        <sz val="11"/>
        <color theme="1"/>
        <rFont val="Soberana Sans Light"/>
        <family val="3"/>
      </rPr>
      <t xml:space="preserve"> Gestión para el éxito sostenido de una organización-Enfoque de gestión de calidad</t>
    </r>
  </si>
  <si>
    <r>
      <rPr>
        <b/>
        <sz val="11"/>
        <color theme="1"/>
        <rFont val="Soberana Sans Light"/>
        <family val="3"/>
      </rPr>
      <t>NMX-R-025-SCFI-2012.-</t>
    </r>
    <r>
      <rPr>
        <sz val="11"/>
        <color theme="1"/>
        <rFont val="Soberana Sans Light"/>
        <family val="3"/>
      </rPr>
      <t xml:space="preserve"> Para la Igualdad Laboral entre Mujeres y Hombres (Cancela a la NMX-R-025-SCFI-2009)</t>
    </r>
  </si>
  <si>
    <r>
      <rPr>
        <b/>
        <sz val="11"/>
        <color theme="1"/>
        <rFont val="Soberana Sans Light"/>
        <family val="3"/>
      </rPr>
      <t xml:space="preserve">NMX-SAST-26000-IMNC-2011/ISO 26000-2010. </t>
    </r>
    <r>
      <rPr>
        <sz val="11"/>
        <color theme="1"/>
        <rFont val="Soberana Sans Light"/>
        <family val="3"/>
      </rPr>
      <t>Guía de Responsabilidad Social (No certificable)</t>
    </r>
  </si>
  <si>
    <t>NMX-R-050-SCFI-2006.- Accesibilidad de las personas con discapacidad a espacios construidos de servicio al público-Especificaciones de seguridad</t>
  </si>
  <si>
    <t>Certificaciones, Sellos, Distintivos y Reconocimientos aplicables al subsector</t>
  </si>
  <si>
    <t>Distintivo M
Programa de Calidad Moderniza. Sistema de gestión M. SECTUR</t>
  </si>
  <si>
    <r>
      <t xml:space="preserve">Distintivo MII
</t>
    </r>
    <r>
      <rPr>
        <sz val="11"/>
        <color theme="1"/>
        <rFont val="Soberana Sans Light"/>
        <family val="3"/>
      </rPr>
      <t>Programa Moderniza Especializada (M II). SECTUR</t>
    </r>
  </si>
  <si>
    <r>
      <rPr>
        <b/>
        <sz val="11"/>
        <color theme="1"/>
        <rFont val="Soberana Sans Light"/>
        <family val="3"/>
      </rPr>
      <t xml:space="preserve">Sello de Calidad “Punto Limpio”. SECTUR
</t>
    </r>
    <r>
      <rPr>
        <sz val="11"/>
        <color theme="1"/>
        <rFont val="Soberana Sans Light"/>
        <family val="3"/>
      </rPr>
      <t>Programa Nacional para las Buenas Prácticas para la Calidad Higiénica de las MIPYMES Turísticas Punto Limpio. SECTUR</t>
    </r>
  </si>
  <si>
    <r>
      <rPr>
        <b/>
        <sz val="11"/>
        <color theme="1"/>
        <rFont val="Soberana Sans Light"/>
        <family val="3"/>
      </rPr>
      <t xml:space="preserve">Distintivo S de Sustentabilidad
</t>
    </r>
    <r>
      <rPr>
        <sz val="11"/>
        <color theme="1"/>
        <rFont val="Soberana Sans Light"/>
        <family val="3"/>
      </rPr>
      <t>Programa de Buenas Prácticas de Sustentabilidad. SECTUR</t>
    </r>
  </si>
  <si>
    <r>
      <rPr>
        <b/>
        <sz val="11"/>
        <color theme="1"/>
        <rFont val="Soberana Sans Light"/>
        <family val="3"/>
      </rPr>
      <t xml:space="preserve">Certificación Earth Check: Sostenibilidad. 
</t>
    </r>
    <r>
      <rPr>
        <sz val="11"/>
        <color theme="1"/>
        <rFont val="Soberana Sans Light"/>
        <family val="3"/>
      </rPr>
      <t>Programa Estándares Earth Check Internacional</t>
    </r>
  </si>
  <si>
    <r>
      <rPr>
        <b/>
        <sz val="11"/>
        <color theme="1"/>
        <rFont val="Soberana Sans Light"/>
        <family val="3"/>
      </rPr>
      <t xml:space="preserve">Distintivo Empresa Socialmente Responsable (ESR).
</t>
    </r>
    <r>
      <rPr>
        <sz val="11"/>
        <color theme="1"/>
        <rFont val="Soberana Sans Light"/>
        <family val="3"/>
      </rPr>
      <t>Centro Mexicano para la Filantropía (CEMEFI).</t>
    </r>
  </si>
  <si>
    <t>Distintivo Empresa Incluyente “Gilberto Rincón Gallardo”. STPS</t>
  </si>
  <si>
    <t>Distintivo Empresa Familiarmente Responsable. (STPS)</t>
  </si>
  <si>
    <r>
      <rPr>
        <b/>
        <sz val="11"/>
        <color theme="1"/>
        <rFont val="Soberana Sans Light"/>
        <family val="3"/>
      </rPr>
      <t>ISO 14001:2004.</t>
    </r>
    <r>
      <rPr>
        <sz val="11"/>
        <color theme="1"/>
        <rFont val="Soberana Sans Light"/>
        <family val="3"/>
      </rPr>
      <t>- Sistema de gestión ambiental- Requisitos con orientación para su uso</t>
    </r>
  </si>
  <si>
    <t>El negocio cuenta con misión, visión y valores, asociados a la Responsabilidad Social Empresarial (RSE), la Calidad y la Sustentabilidad</t>
  </si>
  <si>
    <t>Cuenta con misión, visión y valores alienados a la RSE</t>
  </si>
  <si>
    <t>Código de ética o de conducta</t>
  </si>
  <si>
    <t>Se cuenta con un código de ética o de conducta que establece los principios, valores y acciones éticas buscadas por el negocio</t>
  </si>
  <si>
    <t>Cuenta con un código de ética o de conducta formal</t>
  </si>
  <si>
    <t>El código de ética o de conducta es refrendado por todos en el negocio</t>
  </si>
  <si>
    <t>Se cuenta con una plan de negocio o estratégico que es evaluado y retroalimentado para fortalecer las áreas del negocio</t>
  </si>
  <si>
    <t>Cuenta con una plan de negocio o estratégico</t>
  </si>
  <si>
    <t>El plan incluye objetivos, metas y responsables de llevarlos a cabo en el negocio</t>
  </si>
  <si>
    <t>El plan incluye la definición y segmentación de clientes objetivo</t>
  </si>
  <si>
    <t>El plan incluye la identificación y características de la competencia</t>
  </si>
  <si>
    <t>El plan incluye la identificación de fortalezas y limitaciones a través de un análisis FODA.</t>
  </si>
  <si>
    <t>Se evalúa el plan de negocio o estratégico</t>
  </si>
  <si>
    <t>Evalúa el clima laboral, al menos una vez al año</t>
  </si>
  <si>
    <t>Establece un plan de acción para la mejora del clima laboral</t>
  </si>
  <si>
    <t>Evalúa el nivel de liderazgo, al menos una vez al año</t>
  </si>
  <si>
    <t>Establece un plan de acción para la mejora del nivel de liderazgo</t>
  </si>
  <si>
    <t>Se cuenta con un consejo de administración o directivo o familiar que opera formalmente</t>
  </si>
  <si>
    <t>El consejo opera con normas y procedimientos formales</t>
  </si>
  <si>
    <t>Las normas y procedimientos, incluyen el trato equitativo de todos los accionistas, el acceso a la información y a la capacidad de ejercer sus derechos</t>
  </si>
  <si>
    <t>La estructura u organigrama del consejo incluye  comités o responsables de políticas y acciones relacionadas con las cuestiones éticas y sociales del negocio</t>
  </si>
  <si>
    <t xml:space="preserve">La empresa está registrada ante una Asociación o agrupación certificada del subsector al que pertenece para fortalecer su operación </t>
  </si>
  <si>
    <t>Se cuenta con un registro vigente y se participa en las reuniones de la Asociación o agrupación del subsector</t>
  </si>
  <si>
    <t>Se lleva a cabo el intercambio de experiencias de mejores prácticas (benchmarking) con negocios del mismo giro para fortalecer la calidad del servicio que se presta</t>
  </si>
  <si>
    <t>Se cuenta con un Manual de organización, que incluye la estructura organizacional del negocio y la descripción de funciones</t>
  </si>
  <si>
    <t>Cuenta con manual de organización y el organigrama incluye un comité de RSE</t>
  </si>
  <si>
    <t>Existe un método para realizar las revisiones gerenciales y ejecutivas</t>
  </si>
  <si>
    <t>Se cuenta con manuales de procedimientos de las principales áreas del negocio</t>
  </si>
  <si>
    <t>Cuenta con un manual de procedimientos administrativos que incluye políticas de RSE</t>
  </si>
  <si>
    <t>Cuenta con un manual de procedimientos de ventas que incluye políticas de RSE</t>
  </si>
  <si>
    <t>Cuenta con un manual de procedimientos de recursos humanos que incluye el perfil de puestos y políticas de  RSE</t>
  </si>
  <si>
    <t>Cuenta con un manual de procedimientos para la adquisición de bienes y servicios e incluye políticas de RSE</t>
  </si>
  <si>
    <t>Se cuenta con un manual y políticas de  RSE</t>
  </si>
  <si>
    <t>Cuenta con un manual de RSE y se difunde entre las partes interesadas</t>
  </si>
  <si>
    <t>Se lleva a cabo un monitoreo de adecuación entre los valores declarados y su correspondencia en las prácticas cotidianas, en todos los niveles jerárquicos</t>
  </si>
  <si>
    <t>Se cuenta con un programa de RSE implementado en la organización</t>
  </si>
  <si>
    <t>Cuenta con proceso o sistemas de comunicación e información formales</t>
  </si>
  <si>
    <t>Se informa al personal los planes, programas, objetivos, metas y políticas del negocio</t>
  </si>
  <si>
    <t>Se informa al personal los resultados del negocio</t>
  </si>
  <si>
    <t>Cuenta la organización con programas y procesos para involucrar a los colaboradores en las decisiones de la gerencia, tales como cambios importantes en las operaciones de la organización (por ejemplo, reestructuración), así como también en las operaciones diarias</t>
  </si>
  <si>
    <t>Cuenta con un buzón de quejas físico y/o electrónico</t>
  </si>
  <si>
    <t>Se cuenta con herramientas estratégicas para establecer comunicación interna</t>
  </si>
  <si>
    <t>Se cuenta con procesos de planificación financiera, contable y fiscal</t>
  </si>
  <si>
    <t>Lleva a cabo auditorias financieras</t>
  </si>
  <si>
    <t>Lleva a cabo auditorias contables</t>
  </si>
  <si>
    <t>Llevan a cabo auditorías fiscales</t>
  </si>
  <si>
    <t>Se cuenta con políticas que promueven la adopción de medidas anticorrupción y que prohíban prácticas ilegales</t>
  </si>
  <si>
    <t>Se prohíbe expresamente la utilización de prácticas ilegales, tales como: corrupción, soborno, cohecho,  extorsión, doble contabilidad,  para obtener ventajas económicas</t>
  </si>
  <si>
    <t>Se alienta a los empleados, socios, clientes y proveedores a que informen sobre violaciones de las políticas de la organización y tratamientos inmorales o injustos adoptando protocolos de actuación o procedimientos de denuncia</t>
  </si>
  <si>
    <t>Se cuenta con una política de respeto a la igualdad de oportunidades en el ámbito laboral</t>
  </si>
  <si>
    <t>Cuenta con procesos de reclutamiento y de selección de personal que ofrece igualdad de oportunidades en el acceso a los puestos de trabajo sin mediar  discriminación del trabajador por su origen étnico o nacional, género, edad, discapacidad, condición social, migratoria, de salud, religión, preferencia sexual o estado civil</t>
  </si>
  <si>
    <t>Cuenta con políticas de capacitación y entrenamiento de trabajadores en la empresa que ofrece  igualdad de condiciones a los trabajadores</t>
  </si>
  <si>
    <t>Cuenta con mecanismos para fomentar el acceso  a puestos de trabajo a aquel trabajador que cumpla con el perfil requerido sin mediar  criterios discriminatorios</t>
  </si>
  <si>
    <t>Cuenta con una política salarial que otorga el valor a la responsabilidad del puesto sin discriminación de género o de otra naturaleza</t>
  </si>
  <si>
    <t xml:space="preserve">Se cuenta con una política de contratación de personal acorde a los principios generales de la Ley Federal del Trabajo sobre la no discriminación </t>
  </si>
  <si>
    <t>Adopta prácticas de igualdad de oportunidades de empleo  en el reclutamiento, contratación, capacitación y ascenso, sin hacer referencia a su raza, color, género, orientación sexual, nacionalidad, religión, edad, discapacidad real o percibida, procedencia social, motivos económicos, embarazo, estado de veterano,  afiliación política u opiniones políticas, ser portador o padecer VIH/SIDA, entre otros.</t>
  </si>
  <si>
    <t>Procura un entorno laboral seguro y libre de cualquier forma de discriminación  en cuanto género,  raza, religión u orientación sexual</t>
  </si>
  <si>
    <t>Se cuenta con planes y medidas a favor de la equidad de género</t>
  </si>
  <si>
    <t xml:space="preserve">Cuenta con un plan de acción para promover  la equidad de género en los procesos de selección y contratación laboral </t>
  </si>
  <si>
    <t xml:space="preserve">Cuenta con una políticas de capacitación y entrenamiento que favorece la equidad de genero  </t>
  </si>
  <si>
    <t xml:space="preserve">Cuenta con un plan de acción para promover el desarrollo profesional y mejora del balance trabajo-vida privada </t>
  </si>
  <si>
    <t>Cuenta con un protocolo para la prevención, manejo y seguimiento del acoso sexual</t>
  </si>
  <si>
    <t>Se contempla en su política de contratación de personal, la  Ley General para la Inclusión de las Personas con Discapacidad de la STPS</t>
  </si>
  <si>
    <t xml:space="preserve">Se ha introducido  formas de contratación, de capacitación y/ o a prueba, que facilite la inserción de personas en situación de discapacidad </t>
  </si>
  <si>
    <t>Se ha adecuado las instalaciones de la empresa para hacer el ambiente laboral más amigable a los trabajadores en situación de discapacidad</t>
  </si>
  <si>
    <t xml:space="preserve">Se implementa mejores prácticas en el manejo de las relaciones laborales </t>
  </si>
  <si>
    <t>Otorga prestaciones conforme a lo establecido por la ley</t>
  </si>
  <si>
    <t>Regulariza y respeta condiciones de contratos individuales y colectivos de trabajo</t>
  </si>
  <si>
    <t>Promueve planes de carrera</t>
  </si>
  <si>
    <t>Otorga valor agregado a los programas de capacitación</t>
  </si>
  <si>
    <t>Establece políticas de incentivación y motivación para el personal</t>
  </si>
  <si>
    <t>Informa y difunde normas laborales</t>
  </si>
  <si>
    <t>Presta atención a servicios de salud en el lugar de trabajo</t>
  </si>
  <si>
    <t>Redacta, da a conocer y respeta el reglamento interior de trabajo</t>
  </si>
  <si>
    <t>Se cuenta con un programa de gestión de seguridad</t>
  </si>
  <si>
    <t>Se cuenta con una Comisión  de Seguridad e Higiene</t>
  </si>
  <si>
    <t>Se implementan planes de prevención y control de accidentes, como parte de su programa  global de gestión de seguridad</t>
  </si>
  <si>
    <t>Se promueve la salud integral del trabajador (condiciones ergonómicas del lugar de trabajo, los recesos para alimentarse durante la jornada de trabajo y otros)</t>
  </si>
  <si>
    <t>Se  actúa en los aspectos sanitarios de la prevención de los riegos en el lugar de trabajo; y se vigila las condiciones de trabajo (iluminación adecuada, instalaciones eléctricas óptimas, etc.,)  y ambientales (temperatura del aire o humedad, contaminación auditiva, etc.) que puedan ser nocivos o insalubres para los trabajadores</t>
  </si>
  <si>
    <t>Se cuenta con un programa interno de protección civil</t>
  </si>
  <si>
    <t>Cuenta con un programa de protección civil para la prevención de lesiones, enfermedades y accidentes laborales, así como para el tratamiento de emergencias gratuita</t>
  </si>
  <si>
    <t xml:space="preserve">Se cuenta con una política de capacitación constante y mejora continua   </t>
  </si>
  <si>
    <t>Cuenta con programas de  capacitación y adiestramiento continuo dirigido al personal administrativo</t>
  </si>
  <si>
    <t>Cuenta con programas de  capacitación y adiestramiento continuo dirigido al personal en labores de operación de mantenimiento de las unidades (automóviles)</t>
  </si>
  <si>
    <t>Cuenta con mecanismos para evaluar el cumplimiento y calidad de los programas de capacitación y da seguimiento a los resultados</t>
  </si>
  <si>
    <t>Cuenta con un plan de incentivos para sus trabajadores, basado en mecanismos de evaluación del desempeño, con el objeto de garantizar la satisfacción del cliente</t>
  </si>
  <si>
    <t xml:space="preserve">  Se informa de los resultados a los inversionistas</t>
  </si>
  <si>
    <t>Se presenta anualmente un reporte de resultados económicos de la empresa a los accionistas con información transparente de la utilidad neta, indicadores del rendimiento del activo y del patrimonio, así como de su posición financiera</t>
  </si>
  <si>
    <t xml:space="preserve">Se cuenta con un procedimiento para la selección de proveedores </t>
  </si>
  <si>
    <t>Cuenta con una política de selección de proveedores con criterios de precio, calidad, entrega y confianza</t>
  </si>
  <si>
    <t>Cuenta con un procedimiento para gestionar compras</t>
  </si>
  <si>
    <t>Cuenta con una política de pago a proveedores</t>
  </si>
  <si>
    <t>Se cuenta con una metodología para la evaluación de los proveedores</t>
  </si>
  <si>
    <t>Se registra una evaluación que hace la oficina de compras de la empresa  al pro¬veedor, asignándosele una calificación en base a la calidad, facilidades de pago ofrecidas, atención del proveedor y otros criterios</t>
  </si>
  <si>
    <t>Se requiere a los proveedores una serie de requisitos y objetivos alienados a los principios de la responsabilidad social, con la posibilidad de verificar requisitos específicos</t>
  </si>
  <si>
    <t>Se cuenta con un  programa de desarrollo de proveedores</t>
  </si>
  <si>
    <t>Establece relaciones de largo plazo con sus proveedores para generar desarrollo y valor compartido, preocupándose especialmente de asegurar la calidad de los servicios y productos por medio del traspaso de las mejores prácticas de la industria</t>
  </si>
  <si>
    <t>Protección de la seguridad y salud de los consumidores</t>
  </si>
  <si>
    <t xml:space="preserve">Se cuenta con un programa de seguridad </t>
  </si>
  <si>
    <t>Cuenta con programas de seguridad orientados a la prevención, investigación, análisis de incidentes y accidentes, prevención de actos de interferencia ilícita y preparación de respuesta a la emergencia</t>
  </si>
  <si>
    <t>El personal de la empresa cuenta con  capacitación para identificar y gestionar situaciones potencialmente peligrosas</t>
  </si>
  <si>
    <t xml:space="preserve">Se cuenta con un programa para informar a los clientes de  los procedimientos de seguridad </t>
  </si>
  <si>
    <t xml:space="preserve">Se cuenta con una política de atención al cliente </t>
  </si>
  <si>
    <t>Cuenta con un programa de  mejora de la calidad de los servicios (amabilidad y actitud del servicio del personal)</t>
  </si>
  <si>
    <t>Cuenta con una política que explicita que  la garantía es significativa para el cliente y compensa su insatisfacción</t>
  </si>
  <si>
    <t>Establece procedimientos más sencillos para la presentación de reclamaciones, así como mecanismos extrajudiciales de solución de litigios</t>
  </si>
  <si>
    <t>Cuenta con mecanismos para conocer la satisfacción de sus clientes</t>
  </si>
  <si>
    <t>Se cuenta con un sistema de resolución de quejas y controversias</t>
  </si>
  <si>
    <t>Cuenta con representantes del servicio al cliente que resuelve los problemas in situ o procesa la quejas a través de mecanismos  con la consigna de dar soluciones de forma inmediata a los pasajeros</t>
  </si>
  <si>
    <t>Lleva un registro de las quejas y controversia, además de estudiar la información con el fin de determinar qué es lo que quiere el público consumidor y de identificar áreas problemáticas que requieran una atención particular</t>
  </si>
  <si>
    <t>Prácticas comerciales justas y responsables</t>
  </si>
  <si>
    <t xml:space="preserve">Se cuenta con un código  ético de prácticas comerciales </t>
  </si>
  <si>
    <t>Informa de forma veraz y oportuna  a los consumidores en cuanto al servicio ofrecido, su precio, condiciones de contratación y otras características relevantes, así como sobre las bases de las promociones y ofertas y el tiempo o plazo de su duración</t>
  </si>
  <si>
    <t>Impulsa las prácticas comerciales justas y responsables con los clientes, socios comerciales, proveedores y partes interesadas de conformidad con la legislación  comercial vigente</t>
  </si>
  <si>
    <t>Cuentan con programas de capacitación para que  los empleados cumplan con las prácticas comerciales  responsables</t>
  </si>
  <si>
    <t>Mercadotecnia y publicidad, responsable y transparente</t>
  </si>
  <si>
    <t>Se cuenta con  prácticas de mercadotecnia y publicidad responsables</t>
  </si>
  <si>
    <t xml:space="preserve">Cuenta con un plan de mercadotecnia: ventas, precios, servicios, distribución y promoción, con criterios éticos </t>
  </si>
  <si>
    <t>Los materiales publicitarios y de promoción siempre son veraces, cumplen con los términos y condiciones  de cualquier autorización de marketing (es decir, no hacen promoción no incluida en el servicio) y describen de forma justa y precisa los servicios, sin inducir a interpretaciones erróneas</t>
  </si>
  <si>
    <t xml:space="preserve">Se respeta la privacidad de información de terceros </t>
  </si>
  <si>
    <t>Respeta y se compromete a proteger  la privacidad de todas las personas  con las que entabla relaciones comerciales (clientes, colaboradores, proveedores, contratistas o profesionales del sector aéreo) en conformidad con las leyes aplicables</t>
  </si>
  <si>
    <t>Aplica políticas y programas  de formación sobre su cumplimiento para que los empleados pertinentes entiendan sus propias obligaciones con la gestión de información personal conforme a las leyes aplicables</t>
  </si>
  <si>
    <t>Competencia justa y antimonopolio</t>
  </si>
  <si>
    <t>Se respetan los derechos de propiedad nacional e internacional</t>
  </si>
  <si>
    <t xml:space="preserve">Implementa políticas y prácticas que promueven el respeto de los derechos de  propiedad, marcas y patentes </t>
  </si>
  <si>
    <t>Cuenta con una política que prohíbe involucrarse en actividades que violen los derechos de propiedad, la falsificación y la piratería</t>
  </si>
  <si>
    <t>Se respeta la competencia justa y honesta</t>
  </si>
  <si>
    <t xml:space="preserve">Promueve entre sus colaboradores una política de trato justo y honesto hacia la competencia </t>
  </si>
  <si>
    <t>Promueve una política en la que se ofrece precios competitivos, justos y en ofertas sin poner en desventaja a la competencia</t>
  </si>
  <si>
    <t>Realiza sus actividades de manera coherente con las leyes y regulaciones en materia de competencia</t>
  </si>
  <si>
    <t>Cumplimiento de las leyes, reglamentos, normas y lineamientos nacionales e internacionales</t>
  </si>
  <si>
    <t xml:space="preserve">Se cumple con la legislación nacional e internacional </t>
  </si>
  <si>
    <t>Cumple con todas las leyes, reglamentaciones  y demás disposiciones que se encuentren en vigor,  sean nacionales e internacionales  que apliquen a cualquier área y actividad de la empresa</t>
  </si>
  <si>
    <t>Rechaza y denuncia cualquier forma de ilegalidad  que practique cualquier  persona física o moral que tenga relación con la empresa</t>
  </si>
  <si>
    <t>Acciones de prevención, y mitigación del impacto ambiental generado por la contaminación, protección de la biodiversidad y restauración de hábitats</t>
  </si>
  <si>
    <t>Se aplica un enfoque preventivo orientado al desafío de la protección medioambiental</t>
  </si>
  <si>
    <t>Las arrendadoras cuentan con una flota de automóviles  que cumplen con las condiciones técnicas y legales vigentes en cuanto a la emisión de contaminantes, y los residuos generado son tratados por los gestores de residuos autorizados</t>
  </si>
  <si>
    <t>Se eligen materias primas (lubricantes, refrigerantes..) que aumenten el rendimiento los automóviles, para conseguir un menor consumo, así como una disminución del residuo generado</t>
  </si>
  <si>
    <t>Se adoptan medidas para prevenir y minimizar las emisiones de gases durante las actividades de mantenimiento  de los automóviles</t>
  </si>
  <si>
    <t xml:space="preserve">Se cumple con las revisiones periódicas de los automóviles para asegurar que su estado mecánico es el correcto y el nivel de emisiones contaminantes permanece en o debajo de los niveles legales permitidos </t>
  </si>
  <si>
    <t>Se cuenta con un sistema de gestión ambiental que detecte áreas de oportunidad en el manejo de sustancias químicas, el control de derrames, reducción en la generación de residuos peligrosos o bien el reciclado</t>
  </si>
  <si>
    <t xml:space="preserve">Se compromete a adoptar prácticas que  no perjudiquen el medio ambiente </t>
  </si>
  <si>
    <t>Busca continuamente formas de ir más allá de las regulaciones ambientales actuales</t>
  </si>
  <si>
    <t>Aprovecha cada oportunidad de reducir su huella de carbono</t>
  </si>
  <si>
    <t>Se lleva a cabo programas de seguimiento ambiental para aquellas actividades identificadas por su potencial impacto negativo en el ambiente durante las operaciones normales   y condiciones alteradas</t>
  </si>
  <si>
    <t xml:space="preserve">Se aplican acciones  para el uso sustentable de recursos naturales </t>
  </si>
  <si>
    <t>Dentro de su procesos administrativos, utiliza  insumos amigables con el medio ambiente, biodegradables e inocuos</t>
  </si>
  <si>
    <t>Reutiliza papel y utiliza sistemas informáticos que permiten reducir el consumo de papel</t>
  </si>
  <si>
    <t>Recicla los desechos y adopta hábitos de compras corporativas ecológicos, siempre que sea posible</t>
  </si>
  <si>
    <t>Se utiliza los recursos materiales, energía y agua de forma racional y eficiente</t>
  </si>
  <si>
    <t xml:space="preserve">Se realizan acciones y desarrollan proyectos que contribuyan a impulsar el desarrollo social de la comunidad  </t>
  </si>
  <si>
    <t xml:space="preserve">Usa proveedores locales cuando es posible </t>
  </si>
  <si>
    <t>Contrata personas de la localidad o comunidades aledañas para cubrir al menos el 60% de las contrataciones de persona</t>
  </si>
  <si>
    <t xml:space="preserve">Colabora con el desarrollo de actividades culturales, educativas y tecnológicas, en proyectos de investigación, y programas de formación profesional, así como  atención comunitaria </t>
  </si>
  <si>
    <t>Se realizan  acciones de  apoyo comunitario como parte de su estrategia de Responsabilidad Social Empresarial (RSE)</t>
  </si>
  <si>
    <t>Realiza proyectos en beneficio de la comunidad, como apoyar a fundaciones en el país, en especial en los temas de salud, educación y deporte, hacer donaciones e impulsar programas de voluntariado para reforestaciones, reciclaje de papel u otros materiales, limpieza de playas, entre otras</t>
  </si>
  <si>
    <t>Responde de forma apropiada a cualquier crisis humanitaria en la que se necesite sus servicios o conocimientos específicos</t>
  </si>
  <si>
    <t>Se adhiere a  una cultura de procesos y mejora continua</t>
  </si>
  <si>
    <t>Establece políticas dirigidas hacia  la   mejora continua de los procesos operativos y administrativos de la empresa</t>
  </si>
  <si>
    <t>Establece controles y registros de acciones preventivas, correctivas y de mejora continua</t>
  </si>
  <si>
    <t>Verifica periódicamente la efectividad de sus programas, planes, procesos, procedimientos y políticas</t>
  </si>
  <si>
    <t>Colabora en conjunto con la Cámara o Asociación a la que pertenece el giro comercial, con el objeto de intercambiar experiencias de mejores prácticas para una mejora continua en la calidad del servicio que se presta</t>
  </si>
  <si>
    <t>Revisión de prácticas de Calidad y RSE</t>
  </si>
  <si>
    <t>Se revisan   las prácticas de calidad y Responsabilidad Social Empresarial (RSE)</t>
  </si>
  <si>
    <t>Establece un programa o plan de revisión de prácticas de calidad y responsabilidad social empresarial de la empresa</t>
  </si>
  <si>
    <t>Informes de Sustentabilidad</t>
  </si>
  <si>
    <t>Se realizan informes de sustentabilidad periódicamente</t>
  </si>
  <si>
    <t>Desarrolla informes de sustentabilidad que abarquen aspectos ambientales, sociales y financieros para dar a conocer los impactos de las compañías</t>
  </si>
  <si>
    <t>NMX-TT-010-IMNC-2008.
NMX-CC-9001-IMNC-2008  (Equivalente nacional de ISO 9001:2008.
NMX-CC-9004-IMNC-2009
Distintivo “Moderniza I”
Distintivo “Moderniza II”
Distintivo Empresa Familiarmente Responsable
NMX-R-025-SCFI-2012
NMX-SAST-26000-IMNC-2011
Sello de Calidad “Punto Limpio”
Distintivo Empresa Incluyente “Gilberto Rincón Gallardo”</t>
  </si>
  <si>
    <t>NMX-TT-010-IMNC-2008.
NMX-CC-9001-IMNC-2008  (Equivalente nacional de ISO 9001:2008.
NMX-CC-9004-IMNC-2009
Distintivo “Moderniza I”
Contrato Tipo de Mediación para la Prestación de Servicios Turísticos (PROFECO)
Distintivo “Moderniza II”
Distintivo Empresa Familiarmente Responsable
NMX-SAST-26000-IMNC-2011
Distintivo Empresa Incluyente “Gilberto Rincón Gallardo”</t>
  </si>
  <si>
    <t>NMX-CC-9001-IMNC-2008
NMX-CC-9004-IMNC-2009
Distintivo “M”
Distintivo M II
Distintivo Empresa Familiarmente Responsable
NMX-SAST-26000-IMNC-2011
Distintivo Empresa Socialmente Responsable
Distintivo Empresa Incluyente
NMX-R-025-SCFI-2008
CERTIFICACIÓN EQUIDAD Y GÉNERO</t>
  </si>
  <si>
    <t xml:space="preserve">Distintivo Empresa Familiarmente 
Responsable
Distintivo Empresa Incluyente
Distintivo Empresa Socialmente Responsable
NMX-SAST-26000-IMNC-2011
NMX-R-025-SCFI-2008
CERTIFICACIÓN EQUIDAD Y GÉNERO
  </t>
  </si>
  <si>
    <t>Distintivo Empresa Incluyente
Distintivo Empresa Socialmente Responsable
NMX-SAST-26000-IMNC-2011
NMX-R-025-SCFI-2008
CERTIFICACIÓN EQUIDAD Y GÉNERO
Distintivo Empresa Familiarmente  Responsable
NMX-R-050-SCFI-2006</t>
  </si>
  <si>
    <t>Distintivo Empresa Socialmente Responsable
NMX-SAST-26000-IMNC-2011
NMX-R-025-SCFI-2008
CERTIFICACIÓN EQUIDAD Y GÉNERO
Distintivo Empresa Familiarmente  Responsable</t>
  </si>
  <si>
    <t>NOM-019-STPS-2011
NOM-068-SCT-2-2000
PROY-NOM-068-SCT-2-2012
NOM-080-SEMARNAT-1994
Distintivo Empresa Socialmente Responsable
NMX-SAST-26000-IMNC-2011</t>
  </si>
  <si>
    <t>Distintivo Empresa Socialmente Responsable
NMX-SAST-26000-IMNC-2011</t>
  </si>
  <si>
    <t>NMX-CC-9001-IMNC-2008  (Equivalente nacional de ISO 9001:2008.
NMX-SAST-26000-IMNC-2011
Distintivo Empresa Socialmente Responsable
NMX-SAST-26000-IMNC-2011</t>
  </si>
  <si>
    <t>NOM-041-SEMARNAT-2006
Acuerdo por el que se modifican los límites establecidos en las tablas 3 y 4 de los numerales 4.2.1 y 4.2.2 de la Norma Oficial Mexicana NOM-041-SEMARNAT-2006
NOM-042-SEMARNAT-2003
NOM-047-SEMARNAT-1999
NOM-045-SEMARNAT-2006
NOM-050-SEMARNAT-1993
NOM-080-SEMARNAT-1994
Distintivo Empresa Socialmente Responsable
NMX-SAST-26000-IMNC-2011
Certificado de Calidad Ambiental turística Normas Mexicanas : NMX_AA-162-SCFI-2012 y NMX-AA-163-SCFI-2012 
ISO 14001:2004
Distintivo S</t>
  </si>
  <si>
    <t>Distintivo Empresa Socialmente Responsable
NMX-SAST-26000-IMNC-2011
Certificado de Calidad Ambiental turística Normas Mexicanas : NMX_AA-162-SCFI-2012 y NMX-AA-163-SCFI-2012 
ISO 14001:2004
Distintivo S</t>
  </si>
  <si>
    <t>Distintivo Empresa Socialmente Responsable
NMX-SAST-26000-IMNC-2011
NMX-CC-9004-IMNC-2009</t>
  </si>
  <si>
    <t>Marco Legal y Normativo</t>
  </si>
  <si>
    <t>NORMAS OFICIALES MEXICANAS (NOM´S) EN SEGURIDAD Y SALUD EN EL TRABAJO</t>
  </si>
  <si>
    <t>OTRAS NOM´s APLICABLES AL SUBSECTOR</t>
  </si>
  <si>
    <r>
      <rPr>
        <b/>
        <sz val="11"/>
        <color theme="1"/>
        <rFont val="Soberana Sans Light"/>
        <family val="3"/>
      </rPr>
      <t>LEY GENERAL DE PROTECCION CIVIL (FEDERAL Y LOCAL)</t>
    </r>
    <r>
      <rPr>
        <sz val="11"/>
        <color theme="1"/>
        <rFont val="Soberana Sans Light"/>
        <family val="3"/>
      </rPr>
      <t xml:space="preserve">
Medidas de seguridad. Cuando no requiera de un programa interno de protección civil, por tener un aforo menor a 50 personas</t>
    </r>
  </si>
  <si>
    <r>
      <rPr>
        <b/>
        <sz val="11"/>
        <color theme="1"/>
        <rFont val="Soberana Sans Light"/>
        <family val="3"/>
      </rPr>
      <t>LEY DEL IMSS</t>
    </r>
    <r>
      <rPr>
        <sz val="11"/>
        <color theme="1"/>
        <rFont val="Soberana Sans Light"/>
        <family val="3"/>
      </rPr>
      <t xml:space="preserve">
Inscripción del registro empresarial ante el Instituto Mexicano del Seguro Social</t>
    </r>
  </si>
  <si>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</si>
  <si>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FEDERAL DEL TRABAJO</t>
    </r>
    <r>
      <rPr>
        <sz val="11"/>
        <color theme="1"/>
        <rFont val="Soberana Sans Light"/>
        <family val="3"/>
      </rPr>
      <t xml:space="preserve">
Normatividad aplicable en condiciones generales de trabajo y en materia de capacitación - Normatividad aplicable en materia de capacitación</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</si>
  <si>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</si>
  <si>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FEDERAL DE PROTECCIÓN AL CONSUMIDOR. 2012</t>
    </r>
    <r>
      <rPr>
        <sz val="11"/>
        <color theme="1"/>
        <rFont val="Soberana Sans Light"/>
        <family val="3"/>
      </rPr>
      <t xml:space="preserve">
Promueve y protege los derechos y cultura del consumidor y procura la equidad, certeza y seguridad jurídica en las relaciones entre proveedores y consumidores</t>
    </r>
  </si>
  <si>
    <r>
      <rPr>
        <b/>
        <sz val="11"/>
        <color theme="1"/>
        <rFont val="Soberana Sans Light"/>
        <family val="3"/>
      </rPr>
      <t>LEY DE CAMINOS, PUENTES Y AUTOTRANSPORTE FEDERAL. DGAF</t>
    </r>
    <r>
      <rPr>
        <sz val="11"/>
        <color theme="1"/>
        <rFont val="Soberana Sans Light"/>
        <family val="3"/>
      </rPr>
      <t xml:space="preserve">
Las empresas arrendadoras de automóviles para uso particular, que circulen en carreteras de jurisdicción federal, podrán optar por obtener de la Secretaría tarjeta de circulación y placas de servicio federal</t>
    </r>
  </si>
  <si>
    <t>NOM-001-STPS-2008
Edificios, locales, instalaciones y áreas en los centros de trabajo-condiciones de seguridad</t>
  </si>
  <si>
    <t>NOM-002-STPS-2010
Condiciones de seguridad-Prevención y protección contra incendios en los centros de trabajo</t>
  </si>
  <si>
    <t>NOM-017-STPS-2008.- Equipo de protección personal-Selección, uso y manejo en los centros de trabajo</t>
  </si>
  <si>
    <t>NOM-018-STPS-2000.- Sistema para la identificación y comunicación  de peligros y riesgos por sustancias químicas y peligrosas en los centros de trabajo</t>
  </si>
  <si>
    <t>NOM-019-STPS-2011.- Constitución, Integración, Organización y Funcionamiento de las Comisiones de Seguridad e Higiene</t>
  </si>
  <si>
    <t>NOM-021-STPS-1994.- Relativa a los requerimientos y características de los informes de los riesgos de trabajo que ocurran, para integrar las estadísticas</t>
  </si>
  <si>
    <t>NOM-025-STPS-2008.- Condiciones de iluminación en los centros de trabajo</t>
  </si>
  <si>
    <t>NOM-026-STPS-2008.- Colores y señales de seguridad e higiene e identificación de riesgos por fluidos conducidos en tubería</t>
  </si>
  <si>
    <t>NOM-029-STPS-2011.- Mantenimiento de las instalaciones eléctricas en los centros de trabajo - Condiciones de Seguridad</t>
  </si>
  <si>
    <t>NOM-174-SCFI-2007.- Prácticas comerciales- Elementos de información para la prestación de servicios en general</t>
  </si>
  <si>
    <t>NOM-124-SCFI-1997.- Elemento informativos para la contratación del servicio de arrendamiento de vehículos</t>
  </si>
  <si>
    <t>NOM-068-SCT-2-2000.- Transporte terrestre-Servicio de autotransporte federal de pasaje, turismo, carga y transporte privado-Condiciones físico-mecánica y de seguridad para la operación en caminos y puentes de jurisdicción federal.</t>
  </si>
  <si>
    <t>NOM-041-SEMARNAT-2006.- Que establece los límites máximos permisibles de emisiones de gases contaminantes provenientes del escape de los vehículos automotores en circulación que usan gasolina como combustible.</t>
  </si>
  <si>
    <t>Acuerdo por el que se modifican los límites establecidos en las tablas 3 y 4 de los numerales 4.2.1 y 4.2.2 de la Norma Oficial Mexicana NOM-041-SEMARNAT-2006.- Que establece los límites máximos permisibles de emisión de gases contaminantes provenientes del escape de los vehículos automotores en circulación que usan gasolina como combustible.</t>
  </si>
  <si>
    <t>NOM-042-SEMARNAT-2003, Que establece los límites máximos permisibles de  emisión de hidrocarburos totales o no metano, monóxido de carbono, óxidos de nitrógeno y partículas provenientes del escape de los vehículos automotores nuevos cuyo peso bruto vehicular no exceda los 3,857 kilogramos, que usan gasolina, gas licuado de petróleo, gas natural y diesel, así como de las emisiones de hidrocarburos evaporativos provenientes del sistema de combustible de dichos vehículos.</t>
  </si>
  <si>
    <t>NOM-045-SEMARNAT-2006.- Protección ambiental.- Vehículos en circulación que usan diesel como combustible.- Límites máximos permisibles de opacidad, procedimiento de prueba y características técnicas del equipo de medición.</t>
  </si>
  <si>
    <t>NOM-050-SEMARNAT-1993.- Que establece los niveles máximos permisibles de emisión de gases contaminantes provenientes del escape de los vehículos automotores en circulación que usan gas licuado de petróleo, gas natural u otros combustibles alternos como combustible.</t>
  </si>
  <si>
    <t>NOM-080-SEMARNAT-1994.- Que establece los límites máximos permisibles de emisión de ruido proveniente del escape de los vehículos automotores, motocicletas y triciclos motorizados en circulación y su método de medición.</t>
  </si>
  <si>
    <t>NMX-CC-9001-IMNC-2008  (Equivalente nacional de ISO 9001:2008).
NMX-CC-9004-IMNC-2009
Distintivo “Moderniza I”
Distintivo “Moderniza II”
Distintivo Empresa Familiarmente Responsable
NMX-SAST-26000-IMNC-2011
Distintivo Empresa Incluyente “Gilberto Rincón Gallardo”</t>
  </si>
  <si>
    <t>NMX-TT-010-IMNC-2008.
NMX-CC-9001-IMNC-2008  (Equivalente nacional de ISO 9001:2008.
Distintivo “Moderniza I”
Distintivo “Moderniza II”
Distintivo Empresa Familiarmente Responsable
NMX-R-025-SCFI-2012
NMX-SAST-26000-IMNC-2011
Distintivo Empresa Incluyente “Gilberto Rincón Gallardo”</t>
  </si>
  <si>
    <t>NMX-CC-9001-IMNC-2008
NMX-CC-9004-IMNC-2009
Distintivo “M”
Distintivo M II
Distintivo Empresa Familiarmente Responsable
NMX-SAST-26000-IMNC-2011
Distintivo Empresa Socialmente Responsable</t>
  </si>
  <si>
    <t>NOM-068-SCT-2-2000
PROY-NOM-068-SCT-2-2012
NOM-080-SEMARNAT-1994
Distintivo Empresa Socialmente Responsable
NMX-SAST-26000-IMNC-2011</t>
  </si>
  <si>
    <t>NMX-CC-9001-IMNC-2008  (Equivalente nacional de ISO 9001:2008)
Distintivo “Moderniza I”
Distintivo “Moderniza II”
Distintivo Empresa Familiarmente Responsable
NMX-SAST-26000-IMNC-2011
NMX-CC-10001-IMNC-2012</t>
  </si>
  <si>
    <t>NMX-CC-9001-IMNC-2008  (Equivalente nacional de ISO 9001:2008)
Distintivo “Moderniza I”
Distintivo “Moderniza II”
NMX-CC-10002-IMNC-2005
NMX-CC-10003-INMC-2012</t>
  </si>
  <si>
    <t>NMX-CC-9001-IMNC-2008  (Equivalente nacional de ISO 9001:2008&lt;9
Distintivo “Moderniza I”
Distintivo “Moderniza II”
NMX-SAST-26000-IMNC-2011
Distintivo Empresa Socialmente Responsable
NMX-SAST-26000-IMNC-2011
NMX-CC-10001-IMNC-2012</t>
  </si>
  <si>
    <t>NMX-CC-9001-IMNC-2008  (Equivalente nacional de ISO 9001:2008)
Distintivo “Moderniza I”
Distintivo “Moderniza II”
NMX-SAST-26000-IMNC-2011
Distintivo Empresa Socialmente Responsable
NMX-SAST-26000-IMNC-2011
NMX-CC-10001-IMNC-2012</t>
  </si>
  <si>
    <t>NMX-CC-9001-IMNC-2008  (Equivalente nacional de ISO 9001:2008.
Distintivo “Moderniza I”
Distintivo “Moderniza II”
NMX-SAST-26000-IMNC-2011
Distintivo Empresa Socialmente Responsable
NMX-SAST-26000-IMNC-2011
NMX-CC-10001-IMNC-2012</t>
  </si>
  <si>
    <t>Es requisito indispensable contar con el marco normativo y legal del subsector de Arrendadoras para integrarse al Sistema Nacional de Certificación Turística.</t>
  </si>
  <si>
    <t>Documentado y publicado</t>
  </si>
  <si>
    <t>TABLA DE PUNTUACIÓN</t>
  </si>
  <si>
    <t>Peso Porcentual</t>
  </si>
  <si>
    <t>Puntos asignados</t>
  </si>
  <si>
    <t>Gobernanza de la organización</t>
  </si>
  <si>
    <t>Derechos humanos de los trabajadores</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</si>
  <si>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</si>
  <si>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</si>
  <si>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</si>
  <si>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</si>
  <si>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</si>
  <si>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</si>
  <si>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</si>
  <si>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</si>
  <si>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</si>
  <si>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</si>
  <si>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</si>
  <si>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</si>
  <si>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</si>
  <si>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</si>
  <si>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</si>
  <si>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</si>
  <si>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20%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</si>
  <si>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30%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</si>
  <si>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40%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</si>
  <si>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50%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</si>
  <si>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60%</t>
    </r>
    <r>
      <rPr>
        <sz val="12"/>
        <color theme="1"/>
        <rFont val="Arial"/>
        <family val="2"/>
      </rPr>
      <t xml:space="preserve"> de cumplimiento en cada uno de los factores.</t>
    </r>
  </si>
  <si>
    <t>PORCENTAJE MÍNIMO DE CADA UNO DE LOS FACTORES DE LA GUÍA DE EVALUACIÓN DEL SUBSECTOR HOSPEDAJE</t>
  </si>
  <si>
    <t>Prestador de servicios turísticos</t>
  </si>
  <si>
    <t>Factores evaluados</t>
  </si>
  <si>
    <t>Puntaje máximo a alcanzar</t>
  </si>
  <si>
    <t>Puntaje obtenido</t>
  </si>
  <si>
    <t>% equivalente al puntaje obtenido</t>
  </si>
  <si>
    <t xml:space="preserve">Derechos humanos </t>
  </si>
  <si>
    <t>z</t>
  </si>
  <si>
    <t>La empresa debe garantizar por escrito que aquellas transacciones de reservación, ya sea pago en destino o pago inmediato no sufrirán modificaciones al precio convenido, siempre y cuando el cliente no realice cambios en la reservación o el contrato inicial. La empresa debe comunicar esta garantía a sus clientes en todos los puntos de contacto</t>
  </si>
  <si>
    <t>La empresa debe crear mecanismos de contacto para los clientes sencillos de usar y garantizar y emitir una confirmación de recepción de la reclamación</t>
  </si>
  <si>
    <t>Los precios y ofertas publicados en todos los puntos de venta deben ser totales con IVA incluido y detallar los servicios y los adicionales contratados. Las ofertas deben contar con términos y condiciones claramente descritos y accesibles al momento de cotizar o contratar el servicio, tanto en los mostradores como en sus páginas de Internet</t>
  </si>
  <si>
    <t>La empresa debe comunicar a sus clientes su apego a las derechos ARCO, y proporcionar los mecanismos para dar seguimiento a solicitudes relacionadas.
La empresa debe informar a sus clientes sobre el uso de cookies o mecanismos de seguimiento y auditoria en sus portales web.</t>
  </si>
  <si>
    <t>Gestión Tecnológica</t>
  </si>
  <si>
    <t>Tener implementado un Gobierno Tecnologico que asegure el alineamiento a los objetivos de gobierno corporativo dentro de un marco de principios para que la dirección de las organizaciones los utilicen al evaluar, dirigir y monitorear el uso de las tecnologías de la información</t>
  </si>
  <si>
    <t>La presentación de un Plan de gestión estratégico tecnológico</t>
  </si>
  <si>
    <t>La empresa cuenta con procesos de servicio a clientes no sólo para canales tradicionales, como email o teléfono o página web, sino también para canales emergentes sociales; de esto al menos los más importantes (Facebook y Twitter).</t>
  </si>
  <si>
    <t xml:space="preserve">La empresa cuenta con mecanismos de medición de eventos de servicio a clientes para poder tomar acciones correctivas y/o preventivas, que queden documentadas propiamente y puedan retroalimentar a la organización para impulsar la mejora continua.
</t>
  </si>
  <si>
    <t>La empresa cuenta con un procedimiento de customer service que contempla un tiempo de respuesta máximo para solución o respuesta de controversias</t>
  </si>
  <si>
    <t xml:space="preserve">La empresa, desde todos los puntos de contacto disponibles a los clientes menciona clara y puntualmente, cuales son las inclusiones de la renta del vehículo, cuales son los servicios opcionales, cuales son las caracteristicas de los seguros y coberturas contradados (incluyendo los montos de los deducibles en caso de existir), cuales son los sobrecargos aplicables y el impuesto gubernamental. </t>
  </si>
  <si>
    <t>La empresa debe detallar los requisitos para rentar un vehículo, las excepciones a las políticas generales, las reglas de aplicación de tarifas de renta, por ejemplo día adicional, horas adicionales, sobre el lugar y fecha de devolución del automóvil, debe describir claramente las políticas de reservaciones, términos y condiciones.</t>
  </si>
  <si>
    <t>Para el caso de de prepagos, la empresa debe describir el procedimiento a seguir, debe enumerar los requisitos y condiciones para poder efectuar el prepago y gozar del servicio, en que casos aplica la devolución total o parcial del monto cubierto, y como proceder en caso de modificaciones o cancelaciones.</t>
  </si>
  <si>
    <t xml:space="preserve">La arrendadora manifiesta al consumidor en forma clara y explícita los requisitos para contratar el servicio, la cobertura de los seguros incluidos, los cargos adicionales y las disposiciones en eventualidades como descompostura del auto, etc. </t>
  </si>
  <si>
    <t>Realizar una entrega de servicios de TI alineados con las necesidades del negocio, con calidad y valor añadido para los clientes, asegurando una optimización de los costos y garantizando la seguridad de la entrega en todo momento.</t>
  </si>
  <si>
    <t>Implmentación ITIL - Infraestructura de Tecnologías de la Información (ITIL).  Es el estándar mundial en la Gestión de Servicios Informáticos</t>
  </si>
  <si>
    <t>Cuenta con una mesa de ayuda (servide Desk ) para la pronta y optima atencion de los clientes internos y externos para sus necesidades de computo.</t>
  </si>
  <si>
    <t>Promover soluciones tecnológicas dirigidas a mejorar la competitividad de los destinos y servicios turísticos</t>
  </si>
  <si>
    <t>Presentación proyectos de uso tecnológico. Ejemplo: Uso de Tablets y/o teléfonos móviles para agilizar la renta</t>
  </si>
  <si>
    <t>Presentar plan de auditoria de al menos los siguientes elementos:                                                                    CONDICIONES VEHICULARES - CALIDAD DEL VEHÍCULO / SERVICIO A CLIENTES / SERVICO DE TRANSPORTE A CLIENTES / UNIFORMES E IMAGEN CORPORATIVA / TIEMPO DE ESPERA</t>
  </si>
  <si>
    <t>Realiza Auditorias de calidad que permiten garantizar la satisfacción del Cliente</t>
  </si>
  <si>
    <t>Ley Federal de Protección al consumidor y Norma aplicable a los prestadores de Servicio</t>
  </si>
  <si>
    <t>ITIL.- Es el estándar mundial en la Gestión de Servicios Informáticos</t>
  </si>
  <si>
    <t xml:space="preserve">Demostrar que los procesos, sistemas y bases de datos están diseñados y alineados a los compromisos corportativos, normas de mejores prácticas y leyes nacionales de seguridad de la información   </t>
  </si>
  <si>
    <t>Proveer algún tipo de certificado de Cifrado de datos bancarios de los sistemas en su uso</t>
  </si>
  <si>
    <t>La funcion de TI cumple con la adquisicion, control y apego ético en uso de software legal, licenciado de manera lícita y completa, apegado al respecto de derechos de autor.</t>
  </si>
  <si>
    <t>Presentar Facturación de Software legal</t>
  </si>
  <si>
    <t>Existe, mantiene y aplica controles y medidas para gestionar los riesgos generales a los que esté expuesta la continuidad del negocio de la organización y que afecte los contratos y servicios de atencion a cliente</t>
  </si>
  <si>
    <t>Presentación de un procedimiento o protocolo de atención de llamadas de Clientes, conmutadores y enlaces redundantes / Facturación de Plantas de luz</t>
  </si>
  <si>
    <t>Flota y Mantenimiento</t>
  </si>
  <si>
    <t>Kilometraje</t>
  </si>
  <si>
    <t>Antigüedad</t>
  </si>
  <si>
    <t>Frecuencia del Mantenimiento</t>
  </si>
  <si>
    <t>Programa de Control de Calidad de los vehículos</t>
  </si>
  <si>
    <t>Control de calidad en los vehículos</t>
  </si>
  <si>
    <t xml:space="preserve">Seguridad /                                                              Se cuentan con automóviles con sistemas de seguridad activa (elementos que proporcionan estabilidad y buena respuesta a las órdenes del conductor) y pasiva (elementos que sin intervención del conductor para reducir los riesgos), que protejan al cliente en el uso del servicio </t>
  </si>
  <si>
    <t xml:space="preserve">Plan de Mantenimiento Establecido /                    Se cuenta con un programa de mantenimiento constante de los automóviles para su buen funcionamiento y rendimiento </t>
  </si>
  <si>
    <t>Los precios publicados en los diferentes canales de contacto con clientes, deben ser con el precio total a pagar en el mostrador de servicio, este precio total debe incluir el importe de la renta, debe describir si incluye algún tipo de cobertura o seguro, los cargos e impuestos así como los descuentos deben estar incluidos en la cotización del servicio (o prepago del mismo). Cualquier selección de algún servicio adicional, debe también estar incluida en la cotización y debe afectar el total descrito incluyendo impuestos y sobrecargos.</t>
  </si>
  <si>
    <t>El servicio de renta no debe estar condicionado a compra de coberturas o seguros,
en caso de que algún seguro o cobertura esté marcado como obligatorio de compra deberá estar incluido en el total cotizado a pagar en la oficina de renta</t>
  </si>
  <si>
    <t>Ley Federal de Protección de Datos Personales en Posesión de los Particulares</t>
  </si>
  <si>
    <t>Por seguridad al conductor y pasajeros, los Vehículos deben contar con Frenos ABS                                                                  PARA TODOS LOS ASPECTOS DE ESTE SEGMENTO LOS NIVELES DE CUMPLIMIENTO ESTARÍAN RELACIONADOS CON EL % TOTAL DE AUTOS EN LA FLOTA                                           NE =  79% &lt; / ID =  80 - 84% / DO = 85 - 89% / DP = 90 - 94% / DI = 95 - 98% / MR = 98% &gt; =</t>
  </si>
  <si>
    <t>Por seguridad al conductor y pasajeros, los Vehículos deben contar con Bolsas de Aire                                                                  PARA TODOS LOS ASPECTOS DE ESTE SEGMENTO LOS NIVELES DE CUMPLIMIENTO ESTARÍAN RELACIONADOS CON EL % TOTAL DE AUTOS EN LA FLOTA                                           NE =  70% &lt; / ID =  71 - 84% / DO = 85 - 89% / DP = 90 - 95% / DI = 95 - 99% / MR = 100% &gt; =</t>
  </si>
  <si>
    <t>La arrendadora debe de contar con un  programa de manteniemiento preventivo  propio o de la agencia, y llevar sus historiales de cada servicio en un sistema especializado       PARA TODOS LOS ASPECTOS DE ESTE SEGMENTO LOS NIVELES DE CUMPLIMIENTO ESTARÍAN RELACIONADOS CON EL % TOTAL DE AUTOS EN LA FLOTA                                              NE =  70% &lt; / ID =  71 - 84% / DO = 85 - 89% / DP = 90 - 95% / DI = 95 - 99% / MR = 100% &gt; =</t>
  </si>
  <si>
    <t>Por seguridad al conductor y pasajeros los vehículos deben de realizar los  mantenimientso cada 5000 kms                            PARA TODOS LOS ASPECTOS DE ESTE SEGMENTO LOS NIVELES DE CUMPLIMIENTO ESTARÍAN RELACIONADOS CON EL % TOTAL DE AUTOS EN LA FLOTA                                                 NE =  59% &lt; / ID =  60 - 64% / DO = 65 - 74% / DP = 75 - 84% / DI = 85 - 94% / MR = 95% &gt; =</t>
  </si>
  <si>
    <t>La arrendadora debe de contar con un  programa de Control de Calidad de los vehiculos que cubra tanto la revision frecuente de los aspectos fisicos, como del funcionamientos de sus componetes                                                                                           PARA TODOS LOS ASPECTOS DE ESTE SEGMENTO LOS NIVELES DE CUMPLIMIENTO ESTARÍAN RELACIONADOS CON EL % TOTAL DE AUTOS EN LA FLOTA                                                NE =  60% &lt; / ID =  61 - 64% / DO = 65 - 74% / DP = 75 - 84% / DI = 85 - 94% / MR = 95% &gt; =</t>
  </si>
  <si>
    <t>Los Vehículos disponibles para renta deben estar en perfecto estado físico y mecánic;o así como funcionando en todos sus componentes                                                                                    PARA TODOS LOS ASPECTOS DE ESTE SEGMENTO LOS NIVELES DE CUMPLIMIENTO ESTARÍAN RELACIONADOS CON EL % TOTAL DE AUTOS EN LA FLOTA                                               NE =  60% &lt; / ID =  61 - 64% / DO = 65 - 74% / DP = 75 - 84% / DI = 85 - 94% / MR = 95% &gt; =</t>
  </si>
  <si>
    <t>Prácticas Comerciales</t>
  </si>
  <si>
    <t>Medio Ambiente</t>
  </si>
  <si>
    <t>Prácticas Laborales</t>
  </si>
  <si>
    <t>Gobernanza en la organización</t>
  </si>
  <si>
    <r>
      <t xml:space="preserve">Los vehículos deben tener menos de 60,000 kilómetros                            PARA TODOS LOS ASPECTOS DE ESTE SEGMENTO LOS NIVELES DE CUMPLIMIENTO ESTARÍAN RELACIONADOS </t>
    </r>
    <r>
      <rPr>
        <u/>
        <sz val="9"/>
        <rFont val="Soberana Sans Light"/>
        <family val="3"/>
      </rPr>
      <t xml:space="preserve">CON EL % TOTAL DE AUTOS EN LA FLOTA </t>
    </r>
    <r>
      <rPr>
        <sz val="9"/>
        <rFont val="Soberana Sans Light"/>
        <family val="3"/>
      </rPr>
      <t xml:space="preserve">                                            NE =  59% &lt; / ID =  60 - 64% / DO = 65 - 74% / DP = 75 - 84% / DI = 85 - 94% / MR = 95% &gt; =</t>
    </r>
  </si>
  <si>
    <r>
      <t xml:space="preserve">Los vehículos deben tener menos de 24 meses de uso          PARA TODOS LOS ASPECTOS DE ESTE SEGMENTO LOS NIVELES DE CUMPLIMIENTO ESTARÍAN RELACIONADOS </t>
    </r>
    <r>
      <rPr>
        <u/>
        <sz val="9"/>
        <rFont val="Soberana Sans Light"/>
        <family val="3"/>
      </rPr>
      <t xml:space="preserve">CON EL % TOTAL DE AUTOS EN LA FLOTA </t>
    </r>
    <r>
      <rPr>
        <sz val="9"/>
        <rFont val="Soberana Sans Light"/>
        <family val="3"/>
      </rPr>
      <t xml:space="preserve">                                                           NE =  59% &lt; / ID =  60 - 64% / DO = 65 - 74% / DP = 75 - 84% / DI = 85 - 94% / MR = 95% &gt; =</t>
    </r>
  </si>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</sst>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fonts count="70"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b/>
      <sz val="9"/>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0"/>
      <name val="Soberana Sans Light"/>
      <family val="3"/>
    </font>
    <font>
      <sz val="16"/>
      <name val="Soberana Sans Light"/>
      <family val="3"/>
    </font>
    <font>
      <sz val="16"/>
      <color theme="1"/>
      <name val="Soberana Sans Light"/>
      <family val="3"/>
    </font>
    <font>
      <b/>
      <sz val="11"/>
      <color theme="1"/>
      <name val="Soberana Sans"/>
      <family val="3"/>
    </font>
    <font>
      <sz val="11"/>
      <color theme="0"/>
      <name val="Soberana Sans Light"/>
      <family val="3"/>
    </font>
    <font>
      <b/>
      <sz val="12"/>
      <color theme="0"/>
      <name val="Soberana Sans"/>
      <family val="3"/>
    </font>
    <font>
      <b/>
      <sz val="12"/>
      <color theme="0"/>
      <name val="Soberana Sans Light"/>
      <family val="3"/>
    </font>
    <font>
      <b/>
      <sz val="14"/>
      <color theme="1"/>
      <name val="Calibri"/>
      <family val="2"/>
      <scheme val="minor"/>
    </font>
    <font>
      <b/>
      <i/>
      <sz val="9"/>
      <color rgb="FFFFFFFF"/>
      <name val="Soberana Sans Light"/>
      <family val="3"/>
    </font>
    <font>
      <b/>
      <sz val="9"/>
      <color rgb="FF000000"/>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9"/>
      <color rgb="FFFFFFFF"/>
      <name val="Soberana Sans Light"/>
      <family val="3"/>
    </font>
    <font>
      <b/>
      <sz val="9"/>
      <name val="Soberana Sans Light"/>
      <family val="3"/>
    </font>
    <font>
      <sz val="9"/>
      <name val="Soberana Sans Light"/>
      <family val="3"/>
    </font>
    <font>
      <sz val="11"/>
      <color theme="1"/>
      <name val="Calibri"/>
      <family val="2"/>
      <scheme val="minor"/>
    </font>
    <font>
      <sz val="11"/>
      <name val="Calibri"/>
      <family val="2"/>
      <scheme val="minor"/>
    </font>
    <font>
      <b/>
      <sz val="11"/>
      <name val="Calibri"/>
      <family val="2"/>
      <scheme val="minor"/>
    </font>
    <font>
      <b/>
      <sz val="24"/>
      <name val="Soberana Sans Light"/>
      <family val="3"/>
    </font>
    <font>
      <b/>
      <sz val="12"/>
      <name val="Soberana Sans Light"/>
      <family val="3"/>
    </font>
    <font>
      <b/>
      <sz val="20"/>
      <name val="Soberana Sans Light"/>
      <family val="3"/>
    </font>
    <font>
      <sz val="8"/>
      <name val="Arial"/>
      <family val="2"/>
    </font>
    <font>
      <sz val="8"/>
      <name val="Soberana Sans Light"/>
      <family val="3"/>
    </font>
    <font>
      <sz val="12"/>
      <name val="Soberana Sans Light"/>
      <family val="3"/>
    </font>
    <font>
      <u/>
      <sz val="9"/>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b/>
      <sz val="11"/>
      <color rgb="FF000000"/>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s>
  <fills count="13">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BBB59"/>
        <bgColor indexed="64"/>
      </patternFill>
    </fill>
    <fill>
      <patternFill patternType="solid">
        <fgColor rgb="FFEAF1DD"/>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FF0000"/>
        <bgColor indexed="64"/>
      </patternFill>
    </fill>
    <fill>
      <patternFill patternType="solid">
        <fgColor theme="9"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
      <left style="medium">
        <color indexed="64"/>
      </left>
      <right style="medium">
        <color indexed="64"/>
      </right>
      <top style="medium">
        <color indexed="64"/>
      </top>
      <bottom style="medium">
        <color indexed="64"/>
      </bottom>
      <diagonal/>
    </border>
    <border>
      <left style="medium">
        <color rgb="FF9BBB59"/>
      </left>
      <right/>
      <top style="medium">
        <color rgb="FF9BBB59"/>
      </top>
      <bottom/>
      <diagonal/>
    </border>
    <border>
      <left/>
      <right/>
      <top style="medium">
        <color rgb="FF9BBB59"/>
      </top>
      <bottom/>
      <diagonal/>
    </border>
    <border>
      <left/>
      <right style="medium">
        <color rgb="FF9BBB59"/>
      </right>
      <top style="medium">
        <color rgb="FF9BBB59"/>
      </top>
      <bottom/>
      <diagonal/>
    </border>
  </borders>
  <cellStyleXfs count="2">
    <xf numFmtId="0" fontId="0" fillId="0" borderId="0"/>
    <xf numFmtId="9" fontId="45" fillId="0" borderId="0" applyFont="0" applyFill="0" applyBorder="0" applyAlignment="0" applyProtection="0"/>
  </cellStyleXfs>
  <cellXfs count="336">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11" fillId="3" borderId="1" xfId="0" applyFont="1" applyFill="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0" xfId="0" applyFont="1"/>
    <xf numFmtId="0" fontId="7" fillId="0" borderId="0" xfId="0" applyFont="1" applyAlignment="1">
      <alignment horizontal="center" vertical="center"/>
    </xf>
    <xf numFmtId="0" fontId="4" fillId="0" borderId="0" xfId="0" applyFont="1" applyFill="1"/>
    <xf numFmtId="0" fontId="5" fillId="0" borderId="0" xfId="0" applyFont="1" applyFill="1" applyAlignment="1">
      <alignment horizontal="center" vertical="center" textRotation="90"/>
    </xf>
    <xf numFmtId="0" fontId="7" fillId="0" borderId="0" xfId="0" applyFont="1"/>
    <xf numFmtId="0" fontId="19" fillId="0" borderId="0" xfId="0" applyFont="1"/>
    <xf numFmtId="0" fontId="4" fillId="0" borderId="0" xfId="0" applyFont="1"/>
    <xf numFmtId="0" fontId="7" fillId="0" borderId="1" xfId="0" applyFont="1" applyBorder="1" applyAlignment="1">
      <alignment horizontal="center" vertical="center"/>
    </xf>
    <xf numFmtId="0" fontId="7" fillId="0" borderId="0" xfId="0" applyFont="1" applyBorder="1"/>
    <xf numFmtId="0" fontId="20" fillId="0" borderId="0" xfId="0" applyFont="1" applyFill="1" applyBorder="1" applyAlignment="1">
      <alignment horizontal="center" vertical="center"/>
    </xf>
    <xf numFmtId="0" fontId="19"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9" fillId="0" borderId="0" xfId="0" applyFont="1" applyAlignment="1">
      <alignment horizontal="center" vertical="center"/>
    </xf>
    <xf numFmtId="0" fontId="9" fillId="2" borderId="1" xfId="0" applyFont="1" applyFill="1" applyBorder="1" applyAlignment="1">
      <alignment horizontal="center" vertical="center"/>
    </xf>
    <xf numFmtId="0" fontId="26" fillId="0"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9"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8" fillId="2"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29" fillId="3" borderId="1" xfId="0" applyFont="1" applyFill="1" applyBorder="1" applyAlignment="1">
      <alignment horizontal="center" vertical="center" wrapText="1"/>
    </xf>
    <xf numFmtId="0" fontId="30" fillId="3" borderId="1" xfId="0" applyFont="1" applyFill="1" applyBorder="1" applyAlignment="1">
      <alignment horizontal="center" vertical="center"/>
    </xf>
    <xf numFmtId="0" fontId="7" fillId="0" borderId="1" xfId="0" applyFont="1" applyBorder="1"/>
    <xf numFmtId="0" fontId="29" fillId="3" borderId="1" xfId="0" applyFont="1" applyFill="1" applyBorder="1" applyAlignment="1">
      <alignment horizontal="center"/>
    </xf>
    <xf numFmtId="0" fontId="29" fillId="3" borderId="0" xfId="0" applyFont="1" applyFill="1" applyAlignment="1">
      <alignment horizontal="center"/>
    </xf>
    <xf numFmtId="0" fontId="31" fillId="3" borderId="1" xfId="0" applyFont="1" applyFill="1" applyBorder="1" applyAlignment="1">
      <alignment horizontal="center" vertical="center"/>
    </xf>
    <xf numFmtId="0" fontId="0" fillId="0" borderId="16" xfId="0" applyBorder="1" applyAlignment="1">
      <alignment horizontal="center"/>
    </xf>
    <xf numFmtId="0" fontId="35" fillId="6" borderId="17" xfId="0" applyFont="1" applyFill="1" applyBorder="1" applyAlignment="1">
      <alignment horizontal="center" vertical="center" wrapText="1"/>
    </xf>
    <xf numFmtId="0" fontId="35" fillId="6" borderId="18" xfId="0" applyFont="1" applyFill="1" applyBorder="1" applyAlignment="1">
      <alignment horizontal="center" vertical="center" wrapText="1"/>
    </xf>
    <xf numFmtId="0" fontId="35" fillId="6" borderId="19" xfId="0" applyFont="1" applyFill="1" applyBorder="1" applyAlignment="1">
      <alignment horizontal="center" vertical="center" wrapText="1"/>
    </xf>
    <xf numFmtId="0" fontId="13" fillId="7" borderId="2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13"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38" fillId="0" borderId="0" xfId="0" applyFont="1" applyAlignment="1">
      <alignment horizontal="justify" vertical="center"/>
    </xf>
    <xf numFmtId="0" fontId="38" fillId="0" borderId="0" xfId="0" applyFont="1" applyAlignment="1">
      <alignment horizontal="left" vertical="justify"/>
    </xf>
    <xf numFmtId="0" fontId="0" fillId="0" borderId="0" xfId="0" applyAlignment="1">
      <alignment horizontal="left" vertical="justify"/>
    </xf>
    <xf numFmtId="0" fontId="36" fillId="0" borderId="0" xfId="0" applyFont="1" applyAlignment="1">
      <alignment horizontal="left" vertical="center"/>
    </xf>
    <xf numFmtId="0" fontId="0" fillId="0" borderId="0" xfId="0" applyAlignment="1">
      <alignment horizontal="left"/>
    </xf>
    <xf numFmtId="0" fontId="42" fillId="9" borderId="22" xfId="0" applyFont="1" applyFill="1" applyBorder="1" applyAlignment="1">
      <alignment horizontal="center" vertical="center" wrapText="1"/>
    </xf>
    <xf numFmtId="0" fontId="34" fillId="10" borderId="22" xfId="0" applyFont="1" applyFill="1" applyBorder="1" applyAlignment="1">
      <alignment vertical="center" wrapText="1"/>
    </xf>
    <xf numFmtId="0" fontId="12" fillId="10" borderId="22" xfId="0" applyFont="1" applyFill="1" applyBorder="1" applyAlignment="1">
      <alignment horizontal="center" vertical="center" wrapText="1"/>
    </xf>
    <xf numFmtId="9" fontId="12" fillId="10" borderId="22" xfId="0" applyNumberFormat="1" applyFont="1" applyFill="1" applyBorder="1" applyAlignment="1">
      <alignment horizontal="center" vertical="center" wrapText="1"/>
    </xf>
    <xf numFmtId="0" fontId="34" fillId="0" borderId="22" xfId="0" applyFont="1" applyBorder="1" applyAlignment="1">
      <alignment vertical="center" wrapText="1"/>
    </xf>
    <xf numFmtId="0" fontId="12" fillId="0" borderId="22" xfId="0" applyFont="1" applyBorder="1" applyAlignment="1">
      <alignment horizontal="center" vertical="center" wrapText="1"/>
    </xf>
    <xf numFmtId="9" fontId="12" fillId="8" borderId="22" xfId="0" applyNumberFormat="1" applyFont="1" applyFill="1" applyBorder="1" applyAlignment="1">
      <alignment horizontal="center" vertical="center" wrapText="1"/>
    </xf>
    <xf numFmtId="0" fontId="34" fillId="8" borderId="22" xfId="0" applyFont="1" applyFill="1" applyBorder="1" applyAlignment="1">
      <alignment vertical="center" wrapText="1"/>
    </xf>
    <xf numFmtId="0" fontId="12" fillId="8" borderId="22" xfId="0" applyFont="1" applyFill="1" applyBorder="1" applyAlignment="1">
      <alignment horizontal="center" vertical="center" wrapText="1"/>
    </xf>
    <xf numFmtId="0" fontId="0" fillId="0" borderId="0" xfId="0" applyFill="1"/>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center" vertical="top" wrapText="1"/>
    </xf>
    <xf numFmtId="0" fontId="13"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5" xfId="0" applyFont="1" applyFill="1" applyBorder="1" applyAlignment="1">
      <alignment horizontal="center" vertical="center"/>
    </xf>
    <xf numFmtId="0" fontId="43" fillId="0" borderId="2"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0" xfId="0" applyFont="1" applyFill="1" applyAlignment="1">
      <alignment horizontal="center" vertical="center"/>
    </xf>
    <xf numFmtId="0" fontId="6" fillId="0" borderId="4" xfId="0" applyFont="1" applyFill="1" applyBorder="1" applyAlignment="1">
      <alignment vertical="center"/>
    </xf>
    <xf numFmtId="0" fontId="33" fillId="6" borderId="27" xfId="0" applyFont="1" applyFill="1" applyBorder="1" applyAlignment="1">
      <alignment horizontal="center" vertical="center"/>
    </xf>
    <xf numFmtId="0" fontId="33" fillId="6" borderId="28" xfId="0" applyFont="1" applyFill="1" applyBorder="1" applyAlignment="1">
      <alignment horizontal="center" vertical="center" wrapText="1"/>
    </xf>
    <xf numFmtId="0" fontId="33" fillId="6" borderId="29" xfId="0" applyFont="1" applyFill="1" applyBorder="1" applyAlignment="1">
      <alignment horizontal="center" vertical="center" wrapText="1"/>
    </xf>
    <xf numFmtId="0" fontId="46" fillId="0" borderId="1" xfId="0" applyFont="1" applyFill="1" applyBorder="1"/>
    <xf numFmtId="9" fontId="46" fillId="0" borderId="1" xfId="1" applyNumberFormat="1" applyFont="1" applyFill="1" applyBorder="1"/>
    <xf numFmtId="0" fontId="47" fillId="0" borderId="1" xfId="0" applyFont="1" applyFill="1" applyBorder="1"/>
    <xf numFmtId="0" fontId="46" fillId="0" borderId="1" xfId="0" applyFont="1" applyBorder="1"/>
    <xf numFmtId="9" fontId="46" fillId="0" borderId="1" xfId="0" applyNumberFormat="1" applyFont="1" applyBorder="1"/>
    <xf numFmtId="0" fontId="49" fillId="0" borderId="1" xfId="0" applyFont="1" applyFill="1" applyBorder="1" applyAlignment="1">
      <alignment vertical="center" textRotation="90"/>
    </xf>
    <xf numFmtId="0" fontId="44" fillId="0" borderId="1" xfId="0" applyFont="1" applyFill="1" applyBorder="1" applyAlignment="1">
      <alignment horizontal="center" vertical="center" wrapText="1"/>
    </xf>
    <xf numFmtId="0" fontId="49" fillId="0" borderId="1" xfId="0" applyFont="1" applyFill="1" applyBorder="1" applyAlignment="1">
      <alignment horizontal="center" vertical="center" textRotation="90"/>
    </xf>
    <xf numFmtId="0" fontId="44" fillId="0" borderId="1" xfId="0" applyFont="1" applyFill="1" applyBorder="1" applyAlignment="1">
      <alignment horizontal="center" vertical="top" wrapText="1"/>
    </xf>
    <xf numFmtId="0" fontId="46" fillId="0" borderId="0" xfId="0" applyFont="1" applyFill="1"/>
    <xf numFmtId="0" fontId="44" fillId="0" borderId="2" xfId="0" applyFont="1" applyFill="1" applyBorder="1" applyAlignment="1">
      <alignment horizontal="center" vertical="center" wrapText="1"/>
    </xf>
    <xf numFmtId="0" fontId="44" fillId="0" borderId="4" xfId="0" applyFont="1" applyFill="1" applyBorder="1" applyAlignment="1">
      <alignment horizontal="center" vertical="center" wrapText="1"/>
    </xf>
    <xf numFmtId="0" fontId="49" fillId="0" borderId="2" xfId="0" applyFont="1" applyFill="1" applyBorder="1" applyAlignment="1">
      <alignment horizontal="center" vertical="center" textRotation="90"/>
    </xf>
    <xf numFmtId="0" fontId="49" fillId="0" borderId="3" xfId="0" applyFont="1" applyFill="1" applyBorder="1" applyAlignment="1">
      <alignment horizontal="center" vertical="center" textRotation="90"/>
    </xf>
    <xf numFmtId="0" fontId="44" fillId="0" borderId="3" xfId="0" applyFont="1" applyFill="1" applyBorder="1" applyAlignment="1">
      <alignment horizontal="center" vertical="center" wrapText="1"/>
    </xf>
    <xf numFmtId="0" fontId="49" fillId="0" borderId="4" xfId="0" applyFont="1" applyFill="1" applyBorder="1" applyAlignment="1">
      <alignment horizontal="center" vertical="center" textRotation="90"/>
    </xf>
    <xf numFmtId="0" fontId="44" fillId="0" borderId="3" xfId="0" applyFont="1" applyFill="1" applyBorder="1" applyAlignment="1">
      <alignment horizontal="left" vertical="center" wrapText="1"/>
    </xf>
    <xf numFmtId="0" fontId="44" fillId="0" borderId="2" xfId="0" applyFont="1" applyFill="1" applyBorder="1" applyAlignment="1">
      <alignment horizontal="center" vertical="top" wrapText="1"/>
    </xf>
    <xf numFmtId="0" fontId="44" fillId="0" borderId="2" xfId="0" applyFont="1" applyFill="1" applyBorder="1" applyAlignment="1">
      <alignment vertical="center" wrapText="1"/>
    </xf>
    <xf numFmtId="0" fontId="44" fillId="0" borderId="2" xfId="0" applyFont="1" applyFill="1" applyBorder="1" applyAlignment="1">
      <alignment vertical="top" wrapText="1"/>
    </xf>
    <xf numFmtId="0" fontId="44" fillId="0" borderId="3" xfId="0" applyFont="1" applyFill="1" applyBorder="1" applyAlignment="1">
      <alignment vertical="center" wrapText="1"/>
    </xf>
    <xf numFmtId="0" fontId="44" fillId="0" borderId="3" xfId="0" applyFont="1" applyFill="1" applyBorder="1" applyAlignment="1">
      <alignment vertical="top" wrapText="1"/>
    </xf>
    <xf numFmtId="0" fontId="44" fillId="0" borderId="4" xfId="0" applyFont="1" applyFill="1" applyBorder="1" applyAlignment="1">
      <alignment vertical="center" wrapText="1"/>
    </xf>
    <xf numFmtId="0" fontId="44" fillId="0" borderId="4" xfId="0" applyFont="1" applyFill="1" applyBorder="1" applyAlignment="1">
      <alignment vertical="top" wrapText="1"/>
    </xf>
    <xf numFmtId="0" fontId="51" fillId="0" borderId="1" xfId="0" applyFont="1" applyFill="1" applyBorder="1" applyAlignment="1">
      <alignment horizontal="center" vertical="center" wrapText="1"/>
    </xf>
    <xf numFmtId="0" fontId="52" fillId="0" borderId="2" xfId="0" applyFont="1" applyFill="1" applyBorder="1" applyAlignment="1">
      <alignment horizontal="center" vertical="center" wrapText="1"/>
    </xf>
    <xf numFmtId="0" fontId="52" fillId="0" borderId="3"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52" fillId="0" borderId="1" xfId="0" applyFont="1" applyFill="1" applyBorder="1" applyAlignment="1">
      <alignment horizontal="center" vertical="center" wrapText="1"/>
    </xf>
    <xf numFmtId="0" fontId="44" fillId="0" borderId="1" xfId="0" applyFont="1" applyFill="1" applyBorder="1" applyAlignment="1">
      <alignment vertical="center" wrapText="1"/>
    </xf>
    <xf numFmtId="0" fontId="52" fillId="0" borderId="1" xfId="0" applyFont="1" applyFill="1" applyBorder="1" applyAlignment="1">
      <alignment vertical="center" wrapText="1"/>
    </xf>
    <xf numFmtId="0" fontId="44" fillId="0" borderId="3" xfId="0" applyFont="1" applyFill="1" applyBorder="1" applyAlignment="1">
      <alignment horizontal="center" vertical="top" wrapText="1"/>
    </xf>
    <xf numFmtId="0" fontId="44" fillId="0" borderId="4" xfId="0" applyFont="1" applyFill="1" applyBorder="1" applyAlignment="1">
      <alignment horizontal="center" vertical="top" wrapText="1"/>
    </xf>
    <xf numFmtId="0" fontId="50" fillId="0" borderId="15" xfId="0" applyFont="1" applyFill="1" applyBorder="1" applyAlignment="1">
      <alignment horizontal="center" vertical="center"/>
    </xf>
    <xf numFmtId="0" fontId="50" fillId="0" borderId="1" xfId="0" applyFont="1" applyFill="1" applyBorder="1" applyAlignment="1">
      <alignment horizontal="center" vertical="center"/>
    </xf>
    <xf numFmtId="0" fontId="49" fillId="0" borderId="2" xfId="0" applyFont="1" applyFill="1" applyBorder="1" applyAlignment="1">
      <alignment vertical="center" textRotation="90"/>
    </xf>
    <xf numFmtId="0" fontId="49" fillId="0" borderId="1" xfId="0" applyFont="1" applyFill="1" applyBorder="1" applyAlignment="1">
      <alignment horizontal="center" vertical="top" textRotation="90"/>
    </xf>
    <xf numFmtId="0" fontId="49" fillId="0" borderId="3" xfId="0" applyFont="1" applyFill="1" applyBorder="1" applyAlignment="1">
      <alignment vertical="center" textRotation="90"/>
    </xf>
    <xf numFmtId="0" fontId="25" fillId="0" borderId="1" xfId="0" applyFont="1" applyFill="1" applyBorder="1" applyAlignment="1">
      <alignment vertical="top" wrapText="1"/>
    </xf>
    <xf numFmtId="0" fontId="25" fillId="0" borderId="13" xfId="0" applyFont="1" applyFill="1" applyBorder="1" applyAlignment="1">
      <alignment vertical="top" wrapText="1"/>
    </xf>
    <xf numFmtId="0" fontId="49" fillId="0" borderId="3" xfId="0" applyFont="1" applyFill="1" applyBorder="1" applyAlignment="1">
      <alignment horizontal="center" vertical="top" textRotation="90"/>
    </xf>
    <xf numFmtId="0" fontId="25" fillId="0" borderId="1" xfId="0" applyFont="1" applyFill="1" applyBorder="1" applyAlignment="1">
      <alignment horizontal="center" vertical="top" wrapText="1"/>
    </xf>
    <xf numFmtId="0" fontId="49" fillId="0" borderId="4" xfId="0" applyFont="1" applyFill="1" applyBorder="1" applyAlignment="1">
      <alignment vertical="center" textRotation="90"/>
    </xf>
    <xf numFmtId="0" fontId="44" fillId="0" borderId="1" xfId="0" applyFont="1" applyFill="1" applyBorder="1" applyAlignment="1">
      <alignment vertical="top" wrapText="1"/>
    </xf>
    <xf numFmtId="0" fontId="25" fillId="0" borderId="11" xfId="0" applyFont="1" applyFill="1" applyBorder="1" applyAlignment="1">
      <alignment vertical="top" wrapText="1"/>
    </xf>
    <xf numFmtId="0" fontId="44" fillId="0" borderId="11" xfId="0" applyFont="1" applyFill="1" applyBorder="1" applyAlignment="1">
      <alignment vertical="top" wrapText="1"/>
    </xf>
    <xf numFmtId="0" fontId="44" fillId="0" borderId="2" xfId="0" applyFont="1" applyFill="1" applyBorder="1" applyAlignment="1">
      <alignment horizontal="center" vertical="center"/>
    </xf>
    <xf numFmtId="0" fontId="49" fillId="0" borderId="6" xfId="0" applyFont="1" applyFill="1" applyBorder="1" applyAlignment="1">
      <alignment horizontal="center" vertical="top" textRotation="90"/>
    </xf>
    <xf numFmtId="0" fontId="44" fillId="0" borderId="5" xfId="0" applyFont="1" applyFill="1" applyBorder="1" applyAlignment="1">
      <alignment vertical="top" wrapText="1"/>
    </xf>
    <xf numFmtId="0" fontId="49" fillId="0" borderId="4" xfId="0" applyFont="1" applyFill="1" applyBorder="1" applyAlignment="1">
      <alignment horizontal="center" vertical="top" textRotation="90"/>
    </xf>
    <xf numFmtId="0" fontId="44" fillId="0" borderId="4" xfId="0" applyFont="1" applyFill="1" applyBorder="1" applyAlignment="1">
      <alignment horizontal="center" vertical="center"/>
    </xf>
    <xf numFmtId="0" fontId="44" fillId="0" borderId="3" xfId="0" applyFont="1" applyFill="1" applyBorder="1" applyAlignment="1">
      <alignment horizontal="center" vertical="center"/>
    </xf>
    <xf numFmtId="0" fontId="25" fillId="0" borderId="6" xfId="0" applyFont="1" applyFill="1" applyBorder="1" applyAlignment="1">
      <alignment horizontal="center" vertical="center" wrapText="1"/>
    </xf>
    <xf numFmtId="0" fontId="25" fillId="0" borderId="6" xfId="0" applyFont="1" applyFill="1" applyBorder="1" applyAlignment="1">
      <alignment horizontal="center" vertical="top" wrapText="1"/>
    </xf>
    <xf numFmtId="0" fontId="53" fillId="0" borderId="1" xfId="0" applyFont="1" applyFill="1" applyBorder="1" applyAlignment="1">
      <alignment vertical="center" textRotation="90"/>
    </xf>
    <xf numFmtId="0" fontId="53" fillId="0" borderId="1" xfId="0" applyFont="1" applyFill="1" applyBorder="1" applyAlignment="1">
      <alignment horizontal="center" vertical="center" textRotation="90"/>
    </xf>
    <xf numFmtId="0" fontId="50" fillId="0" borderId="0" xfId="0" applyFont="1" applyFill="1" applyBorder="1" applyAlignment="1">
      <alignment vertical="center"/>
    </xf>
    <xf numFmtId="0" fontId="46" fillId="0" borderId="0" xfId="0" applyFont="1" applyFill="1" applyBorder="1"/>
    <xf numFmtId="0" fontId="49" fillId="11" borderId="9" xfId="0" applyFont="1" applyFill="1" applyBorder="1" applyAlignment="1">
      <alignment vertical="center" textRotation="90"/>
    </xf>
    <xf numFmtId="0" fontId="44" fillId="11" borderId="1" xfId="0" applyFont="1" applyFill="1" applyBorder="1" applyAlignment="1">
      <alignment horizontal="center" vertical="center"/>
    </xf>
    <xf numFmtId="0" fontId="50" fillId="11" borderId="1" xfId="0" applyFont="1" applyFill="1" applyBorder="1" applyAlignment="1">
      <alignment horizontal="center" vertical="center"/>
    </xf>
    <xf numFmtId="0" fontId="43" fillId="11" borderId="2" xfId="0" applyFont="1" applyFill="1" applyBorder="1" applyAlignment="1">
      <alignment vertical="center"/>
    </xf>
    <xf numFmtId="0" fontId="43" fillId="11" borderId="4" xfId="0" applyFont="1" applyFill="1" applyBorder="1" applyAlignment="1">
      <alignment vertical="center"/>
    </xf>
    <xf numFmtId="0" fontId="43" fillId="11" borderId="3" xfId="0" applyFont="1" applyFill="1" applyBorder="1" applyAlignment="1">
      <alignment vertical="center"/>
    </xf>
    <xf numFmtId="0" fontId="43" fillId="11"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2" xfId="0" applyFont="1" applyFill="1" applyBorder="1" applyAlignment="1">
      <alignment horizontal="center" vertical="top" wrapText="1"/>
    </xf>
    <xf numFmtId="0" fontId="6" fillId="2" borderId="2" xfId="0" applyFont="1" applyFill="1" applyBorder="1" applyAlignment="1">
      <alignment vertical="center"/>
    </xf>
    <xf numFmtId="0" fontId="4" fillId="2" borderId="0" xfId="0" applyFont="1" applyFill="1"/>
    <xf numFmtId="0" fontId="0" fillId="8" borderId="0" xfId="0" applyFill="1"/>
    <xf numFmtId="0" fontId="4" fillId="8" borderId="0" xfId="0" applyFont="1" applyFill="1"/>
    <xf numFmtId="0" fontId="46" fillId="8" borderId="0" xfId="0" applyFont="1" applyFill="1"/>
    <xf numFmtId="0" fontId="46" fillId="8" borderId="26" xfId="0" applyFont="1" applyFill="1" applyBorder="1"/>
    <xf numFmtId="0" fontId="50" fillId="8" borderId="0" xfId="0" applyFont="1" applyFill="1" applyBorder="1" applyAlignment="1">
      <alignment vertical="center"/>
    </xf>
    <xf numFmtId="0" fontId="55" fillId="0" borderId="0" xfId="0" applyFont="1"/>
    <xf numFmtId="0" fontId="56" fillId="0" borderId="0" xfId="0" applyFont="1" applyAlignment="1">
      <alignment horizontal="center"/>
    </xf>
    <xf numFmtId="0" fontId="55" fillId="0" borderId="0" xfId="0" applyFont="1" applyAlignment="1">
      <alignment horizontal="left"/>
    </xf>
    <xf numFmtId="0" fontId="56" fillId="0" borderId="0" xfId="0" applyFont="1"/>
    <xf numFmtId="0" fontId="56" fillId="4" borderId="1" xfId="0" applyFont="1" applyFill="1" applyBorder="1" applyAlignment="1">
      <alignment horizontal="center" vertical="center" wrapText="1"/>
    </xf>
    <xf numFmtId="9" fontId="55" fillId="0" borderId="1" xfId="0" applyNumberFormat="1" applyFont="1" applyBorder="1" applyAlignment="1">
      <alignment horizontal="center" vertical="center" wrapText="1"/>
    </xf>
    <xf numFmtId="9" fontId="55" fillId="0" borderId="2" xfId="0" applyNumberFormat="1" applyFont="1" applyBorder="1" applyAlignment="1">
      <alignment horizontal="center" vertical="center" wrapText="1"/>
    </xf>
    <xf numFmtId="9" fontId="58" fillId="0" borderId="1" xfId="0" applyNumberFormat="1" applyFont="1" applyBorder="1" applyAlignment="1">
      <alignment horizontal="center" vertical="center" wrapText="1"/>
    </xf>
    <xf numFmtId="0" fontId="1" fillId="8" borderId="0" xfId="0" applyFont="1" applyFill="1" applyAlignment="1">
      <alignment vertical="center"/>
    </xf>
    <xf numFmtId="0" fontId="0" fillId="8" borderId="0" xfId="0" applyFont="1" applyFill="1" applyAlignment="1">
      <alignment vertical="center"/>
    </xf>
    <xf numFmtId="0" fontId="2" fillId="8" borderId="0" xfId="0" applyFont="1" applyFill="1"/>
    <xf numFmtId="0" fontId="62" fillId="0" borderId="1" xfId="0" applyFont="1" applyBorder="1" applyAlignment="1">
      <alignment horizontal="left" vertical="center"/>
    </xf>
    <xf numFmtId="0" fontId="63" fillId="8" borderId="1" xfId="0" applyFont="1" applyFill="1" applyBorder="1" applyAlignment="1">
      <alignment vertical="center"/>
    </xf>
    <xf numFmtId="0" fontId="62" fillId="0" borderId="1" xfId="0" applyFont="1" applyBorder="1" applyAlignment="1">
      <alignment horizontal="center" vertical="center"/>
    </xf>
    <xf numFmtId="0" fontId="62" fillId="0" borderId="1" xfId="0" applyFont="1" applyBorder="1" applyAlignment="1">
      <alignment horizontal="center" vertical="center" wrapText="1"/>
    </xf>
    <xf numFmtId="0" fontId="63" fillId="8" borderId="1" xfId="0" applyFont="1" applyFill="1" applyBorder="1"/>
    <xf numFmtId="0" fontId="62" fillId="0" borderId="1" xfId="0" applyFont="1" applyBorder="1" applyAlignment="1">
      <alignment vertical="center" wrapText="1"/>
    </xf>
    <xf numFmtId="0" fontId="64" fillId="0" borderId="0" xfId="0" applyFont="1" applyBorder="1" applyAlignment="1">
      <alignment vertical="center" wrapText="1"/>
    </xf>
    <xf numFmtId="0" fontId="62" fillId="0" borderId="2" xfId="0" applyFont="1" applyBorder="1" applyAlignment="1">
      <alignment horizontal="center" vertical="center"/>
    </xf>
    <xf numFmtId="0" fontId="62" fillId="0" borderId="2" xfId="0" applyFont="1" applyBorder="1" applyAlignment="1">
      <alignment horizontal="center" vertical="center" wrapText="1"/>
    </xf>
    <xf numFmtId="0" fontId="63" fillId="8" borderId="1" xfId="0" applyFont="1" applyFill="1" applyBorder="1" applyAlignment="1"/>
    <xf numFmtId="0" fontId="2" fillId="8" borderId="0" xfId="0" applyFont="1" applyFill="1" applyAlignment="1">
      <alignment wrapText="1"/>
    </xf>
    <xf numFmtId="0" fontId="3" fillId="8" borderId="0" xfId="0" applyFont="1" applyFill="1" applyAlignment="1">
      <alignment wrapText="1"/>
    </xf>
    <xf numFmtId="0" fontId="67" fillId="12" borderId="1" xfId="0" applyFont="1" applyFill="1" applyBorder="1" applyAlignment="1">
      <alignment horizontal="center" vertical="center" wrapText="1"/>
    </xf>
    <xf numFmtId="0" fontId="67" fillId="12" borderId="1" xfId="0" applyFont="1" applyFill="1" applyBorder="1" applyAlignment="1">
      <alignment horizontal="center" vertical="center"/>
    </xf>
    <xf numFmtId="0" fontId="63" fillId="8" borderId="1" xfId="0" applyFont="1" applyFill="1" applyBorder="1" applyAlignment="1">
      <alignment horizontal="center" vertical="center" wrapText="1"/>
    </xf>
    <xf numFmtId="0" fontId="63" fillId="8" borderId="1" xfId="0" applyFont="1" applyFill="1" applyBorder="1" applyAlignment="1">
      <alignment wrapText="1"/>
    </xf>
    <xf numFmtId="0" fontId="66" fillId="8" borderId="1" xfId="0" applyFont="1" applyFill="1" applyBorder="1" applyAlignment="1">
      <alignment vertical="center" wrapText="1"/>
    </xf>
    <xf numFmtId="0" fontId="66" fillId="8" borderId="0" xfId="0" applyFont="1" applyFill="1" applyBorder="1" applyAlignment="1">
      <alignment horizontal="left" vertical="center" wrapText="1"/>
    </xf>
    <xf numFmtId="0" fontId="63" fillId="8" borderId="0" xfId="0" applyFont="1" applyFill="1" applyBorder="1" applyAlignment="1">
      <alignment horizontal="left" vertical="center" wrapText="1"/>
    </xf>
    <xf numFmtId="0" fontId="63" fillId="8" borderId="0" xfId="0" applyFont="1" applyFill="1" applyBorder="1" applyAlignment="1">
      <alignment horizontal="left" wrapText="1"/>
    </xf>
    <xf numFmtId="0" fontId="63" fillId="8" borderId="0" xfId="0" applyFont="1" applyFill="1" applyAlignment="1">
      <alignment horizontal="left" wrapText="1"/>
    </xf>
    <xf numFmtId="0" fontId="66" fillId="8" borderId="0" xfId="0" applyFont="1" applyFill="1" applyBorder="1" applyAlignment="1">
      <alignment vertical="center" wrapText="1"/>
    </xf>
    <xf numFmtId="0" fontId="63" fillId="8" borderId="0" xfId="0" applyFont="1" applyFill="1"/>
    <xf numFmtId="0" fontId="63" fillId="8" borderId="0" xfId="0" applyFont="1" applyFill="1" applyBorder="1" applyAlignment="1">
      <alignment vertical="center" wrapText="1"/>
    </xf>
    <xf numFmtId="0" fontId="69" fillId="8" borderId="0" xfId="0" applyFont="1" applyFill="1" applyAlignment="1">
      <alignment wrapText="1"/>
    </xf>
    <xf numFmtId="0" fontId="69" fillId="8" borderId="0" xfId="0" applyFont="1" applyFill="1"/>
    <xf numFmtId="0" fontId="57" fillId="0" borderId="14" xfId="0" applyFont="1" applyBorder="1" applyAlignment="1">
      <alignment horizontal="left"/>
    </xf>
    <xf numFmtId="0" fontId="56" fillId="2" borderId="2" xfId="0" applyFont="1" applyFill="1" applyBorder="1" applyAlignment="1">
      <alignment horizontal="center" vertical="center" wrapText="1"/>
    </xf>
    <xf numFmtId="0" fontId="56" fillId="4" borderId="6" xfId="0" applyFont="1" applyFill="1" applyBorder="1" applyAlignment="1">
      <alignment horizontal="center" vertical="center" wrapText="1"/>
    </xf>
    <xf numFmtId="0" fontId="56" fillId="4" borderId="5" xfId="0" applyFont="1" applyFill="1" applyBorder="1" applyAlignment="1">
      <alignment horizontal="center" vertical="center" wrapText="1"/>
    </xf>
    <xf numFmtId="0" fontId="23" fillId="0" borderId="0" xfId="0" applyFont="1" applyAlignment="1">
      <alignment horizontal="right" vertical="center"/>
    </xf>
    <xf numFmtId="0" fontId="7" fillId="0" borderId="0" xfId="0" applyFont="1" applyFill="1" applyAlignment="1">
      <alignment horizontal="justify" vertical="justify" wrapText="1"/>
    </xf>
    <xf numFmtId="0" fontId="23" fillId="4" borderId="0" xfId="0" applyFont="1" applyFill="1" applyAlignment="1">
      <alignment horizontal="center" vertical="center"/>
    </xf>
    <xf numFmtId="0" fontId="56" fillId="4" borderId="7" xfId="0" applyFont="1" applyFill="1" applyBorder="1" applyAlignment="1">
      <alignment horizontal="center" vertical="center" wrapText="1"/>
    </xf>
    <xf numFmtId="0" fontId="56" fillId="0" borderId="6" xfId="0" applyFont="1" applyBorder="1" applyAlignment="1">
      <alignment horizontal="center" vertical="center" wrapText="1"/>
    </xf>
    <xf numFmtId="0" fontId="56" fillId="0" borderId="5" xfId="0" applyFont="1" applyBorder="1" applyAlignment="1">
      <alignment horizontal="center" vertical="center" wrapText="1"/>
    </xf>
    <xf numFmtId="0" fontId="55" fillId="0" borderId="6" xfId="0" applyFont="1" applyBorder="1" applyAlignment="1">
      <alignment horizontal="center" vertical="center" wrapText="1"/>
    </xf>
    <xf numFmtId="0" fontId="55" fillId="0" borderId="7" xfId="0" applyFont="1" applyBorder="1" applyAlignment="1">
      <alignment horizontal="center" vertical="center" wrapText="1"/>
    </xf>
    <xf numFmtId="0" fontId="55" fillId="0" borderId="5" xfId="0" applyFont="1" applyBorder="1" applyAlignment="1">
      <alignment horizontal="center" vertical="center" wrapText="1"/>
    </xf>
    <xf numFmtId="0" fontId="55" fillId="0" borderId="6" xfId="0" applyFont="1" applyBorder="1" applyAlignment="1">
      <alignment horizontal="justify" vertical="justify"/>
    </xf>
    <xf numFmtId="0" fontId="55" fillId="0" borderId="7" xfId="0" applyFont="1" applyBorder="1" applyAlignment="1">
      <alignment horizontal="justify" vertical="justify"/>
    </xf>
    <xf numFmtId="0" fontId="55" fillId="0" borderId="5" xfId="0" applyFont="1" applyBorder="1" applyAlignment="1">
      <alignment horizontal="justify" vertical="justify"/>
    </xf>
    <xf numFmtId="0" fontId="55" fillId="0" borderId="6" xfId="0" applyFont="1" applyBorder="1" applyAlignment="1">
      <alignment horizontal="center" vertical="center"/>
    </xf>
    <xf numFmtId="0" fontId="55" fillId="0" borderId="7" xfId="0" applyFont="1" applyBorder="1" applyAlignment="1">
      <alignment horizontal="center" vertical="center"/>
    </xf>
    <xf numFmtId="0" fontId="55" fillId="0" borderId="5" xfId="0" applyFont="1" applyBorder="1" applyAlignment="1">
      <alignment horizontal="center" vertical="center"/>
    </xf>
    <xf numFmtId="0" fontId="56" fillId="0" borderId="8" xfId="0" applyFont="1" applyBorder="1" applyAlignment="1">
      <alignment horizontal="center" vertical="center" wrapText="1"/>
    </xf>
    <xf numFmtId="0" fontId="56" fillId="0" borderId="9" xfId="0" applyFont="1" applyBorder="1" applyAlignment="1">
      <alignment horizontal="center" vertical="center" wrapText="1"/>
    </xf>
    <xf numFmtId="0" fontId="55" fillId="0" borderId="8" xfId="0" applyFont="1" applyBorder="1" applyAlignment="1">
      <alignment horizontal="center" vertical="center"/>
    </xf>
    <xf numFmtId="0" fontId="55" fillId="0" borderId="15" xfId="0" applyFont="1" applyBorder="1" applyAlignment="1">
      <alignment horizontal="center" vertical="center"/>
    </xf>
    <xf numFmtId="0" fontId="55" fillId="0" borderId="9" xfId="0" applyFont="1" applyBorder="1" applyAlignment="1">
      <alignment horizontal="center" vertical="center"/>
    </xf>
    <xf numFmtId="0" fontId="55" fillId="0" borderId="8" xfId="0" applyFont="1" applyBorder="1" applyAlignment="1">
      <alignment horizontal="justify" vertical="justify"/>
    </xf>
    <xf numFmtId="0" fontId="55" fillId="0" borderId="15" xfId="0" applyFont="1" applyBorder="1" applyAlignment="1">
      <alignment horizontal="justify" vertical="justify"/>
    </xf>
    <xf numFmtId="0" fontId="55" fillId="0" borderId="9" xfId="0" applyFont="1" applyBorder="1" applyAlignment="1">
      <alignment horizontal="justify" vertical="justify"/>
    </xf>
    <xf numFmtId="0" fontId="58" fillId="0" borderId="1" xfId="0" applyFont="1" applyBorder="1" applyAlignment="1">
      <alignment horizontal="center" vertical="center" wrapText="1"/>
    </xf>
    <xf numFmtId="0" fontId="55" fillId="0" borderId="1" xfId="0" applyFont="1" applyBorder="1" applyAlignment="1">
      <alignment horizontal="justify" vertical="justify"/>
    </xf>
    <xf numFmtId="0" fontId="56" fillId="0" borderId="1" xfId="0" applyFont="1" applyBorder="1" applyAlignment="1">
      <alignment horizontal="center" vertical="center" wrapText="1"/>
    </xf>
    <xf numFmtId="0" fontId="55" fillId="0" borderId="1" xfId="0" applyFont="1" applyBorder="1" applyAlignment="1">
      <alignment horizontal="center" vertical="center"/>
    </xf>
    <xf numFmtId="0" fontId="59" fillId="0" borderId="0" xfId="0" applyFont="1" applyBorder="1" applyAlignment="1">
      <alignment horizontal="right" vertical="center" wrapText="1"/>
    </xf>
    <xf numFmtId="0" fontId="60" fillId="8" borderId="0" xfId="0" applyFont="1" applyFill="1" applyBorder="1" applyAlignment="1">
      <alignment horizontal="justify" vertical="justify" wrapText="1"/>
    </xf>
    <xf numFmtId="0" fontId="60" fillId="8" borderId="0" xfId="0" applyFont="1" applyFill="1" applyBorder="1" applyAlignment="1">
      <alignment horizontal="center" vertical="justify" wrapText="1"/>
    </xf>
    <xf numFmtId="0" fontId="61" fillId="12" borderId="1" xfId="0" applyFont="1" applyFill="1" applyBorder="1" applyAlignment="1">
      <alignment horizontal="center" vertical="center"/>
    </xf>
    <xf numFmtId="0" fontId="63" fillId="8" borderId="1" xfId="0" applyFont="1" applyFill="1" applyBorder="1" applyAlignment="1">
      <alignment horizontal="center" vertical="center"/>
    </xf>
    <xf numFmtId="0" fontId="63"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63" fillId="0" borderId="1" xfId="0" applyFont="1" applyBorder="1" applyAlignment="1">
      <alignment horizontal="left" vertical="center" wrapText="1"/>
    </xf>
    <xf numFmtId="0" fontId="63" fillId="8" borderId="1" xfId="0" applyFont="1" applyFill="1" applyBorder="1" applyAlignment="1">
      <alignment horizontal="center"/>
    </xf>
    <xf numFmtId="0" fontId="62" fillId="0" borderId="1" xfId="0" applyFont="1" applyBorder="1" applyAlignment="1">
      <alignment horizontal="left" vertical="center"/>
    </xf>
    <xf numFmtId="0" fontId="62" fillId="0" borderId="1" xfId="0" applyFont="1" applyBorder="1" applyAlignment="1">
      <alignment horizontal="center" vertical="center"/>
    </xf>
    <xf numFmtId="0" fontId="63" fillId="0" borderId="1" xfId="0" applyFont="1" applyBorder="1" applyAlignment="1">
      <alignment horizontal="left" vertical="center"/>
    </xf>
    <xf numFmtId="0" fontId="62" fillId="8" borderId="1" xfId="0" applyFont="1" applyFill="1" applyBorder="1" applyAlignment="1">
      <alignment horizontal="left" vertical="center" wrapText="1"/>
    </xf>
    <xf numFmtId="0" fontId="62" fillId="12" borderId="15" xfId="0" applyFont="1" applyFill="1" applyBorder="1" applyAlignment="1">
      <alignment horizontal="center" vertical="center" wrapText="1"/>
    </xf>
    <xf numFmtId="0" fontId="62" fillId="0" borderId="1" xfId="0" applyFont="1" applyBorder="1" applyAlignment="1">
      <alignment horizontal="center" vertical="center" wrapText="1"/>
    </xf>
    <xf numFmtId="0" fontId="62" fillId="0" borderId="6"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5" xfId="0" applyFont="1" applyBorder="1" applyAlignment="1">
      <alignment horizontal="center" vertical="center" wrapText="1"/>
    </xf>
    <xf numFmtId="0" fontId="62" fillId="8" borderId="1" xfId="0" applyFont="1" applyFill="1" applyBorder="1" applyAlignment="1">
      <alignment horizontal="center" vertical="center" wrapText="1"/>
    </xf>
    <xf numFmtId="0" fontId="61" fillId="8" borderId="1" xfId="0" applyFont="1" applyFill="1" applyBorder="1" applyAlignment="1">
      <alignment horizontal="center" vertical="center"/>
    </xf>
    <xf numFmtId="0" fontId="65" fillId="8" borderId="1" xfId="0" applyFont="1" applyFill="1" applyBorder="1" applyAlignment="1">
      <alignment horizontal="center" vertical="center"/>
    </xf>
    <xf numFmtId="0" fontId="66" fillId="8" borderId="1" xfId="0" applyFont="1" applyFill="1" applyBorder="1" applyAlignment="1">
      <alignment horizontal="center" vertical="center" wrapText="1"/>
    </xf>
    <xf numFmtId="0" fontId="60" fillId="8" borderId="1" xfId="0" applyFont="1" applyFill="1" applyBorder="1" applyAlignment="1">
      <alignment horizontal="center" vertical="center"/>
    </xf>
    <xf numFmtId="0" fontId="66" fillId="12" borderId="15" xfId="0" applyFont="1" applyFill="1" applyBorder="1" applyAlignment="1">
      <alignment horizontal="center" vertical="center" wrapText="1"/>
    </xf>
    <xf numFmtId="0" fontId="62" fillId="0" borderId="1" xfId="0" applyFont="1" applyBorder="1" applyAlignment="1">
      <alignment horizontal="left" vertical="center" wrapText="1"/>
    </xf>
    <xf numFmtId="0" fontId="60" fillId="8" borderId="6" xfId="0" applyFont="1" applyFill="1" applyBorder="1" applyAlignment="1">
      <alignment horizontal="center" wrapText="1"/>
    </xf>
    <xf numFmtId="0" fontId="60" fillId="8" borderId="7" xfId="0" applyFont="1" applyFill="1" applyBorder="1" applyAlignment="1">
      <alignment horizontal="center" wrapText="1"/>
    </xf>
    <xf numFmtId="0" fontId="60" fillId="8" borderId="5" xfId="0" applyFont="1" applyFill="1" applyBorder="1" applyAlignment="1">
      <alignment horizontal="center" wrapText="1"/>
    </xf>
    <xf numFmtId="0" fontId="66" fillId="8" borderId="6" xfId="0" applyFont="1" applyFill="1" applyBorder="1" applyAlignment="1">
      <alignment horizontal="center" vertical="center" wrapText="1"/>
    </xf>
    <xf numFmtId="0" fontId="66" fillId="8" borderId="7" xfId="0" applyFont="1" applyFill="1" applyBorder="1" applyAlignment="1">
      <alignment horizontal="center" vertical="center" wrapText="1"/>
    </xf>
    <xf numFmtId="0" fontId="66" fillId="8" borderId="5" xfId="0" applyFont="1" applyFill="1" applyBorder="1" applyAlignment="1">
      <alignment horizontal="center" vertical="center" wrapText="1"/>
    </xf>
    <xf numFmtId="0" fontId="60" fillId="8" borderId="6" xfId="0" applyFont="1" applyFill="1" applyBorder="1" applyAlignment="1">
      <alignment horizontal="center" vertical="center" wrapText="1"/>
    </xf>
    <xf numFmtId="0" fontId="60" fillId="8" borderId="7" xfId="0" applyFont="1" applyFill="1" applyBorder="1" applyAlignment="1">
      <alignment horizontal="center" vertical="center" wrapText="1"/>
    </xf>
    <xf numFmtId="0" fontId="60" fillId="8" borderId="5" xfId="0" applyFont="1" applyFill="1" applyBorder="1" applyAlignment="1">
      <alignment horizontal="center" vertical="center" wrapText="1"/>
    </xf>
    <xf numFmtId="0" fontId="66" fillId="12" borderId="8" xfId="0" applyFont="1" applyFill="1" applyBorder="1" applyAlignment="1">
      <alignment horizontal="center" vertical="center" wrapText="1"/>
    </xf>
    <xf numFmtId="0" fontId="66" fillId="12" borderId="9" xfId="0" applyFont="1" applyFill="1" applyBorder="1" applyAlignment="1">
      <alignment horizontal="center" vertical="center" wrapText="1"/>
    </xf>
    <xf numFmtId="0" fontId="66" fillId="12" borderId="12" xfId="0" applyFont="1" applyFill="1" applyBorder="1" applyAlignment="1">
      <alignment horizontal="center" vertical="center" wrapText="1"/>
    </xf>
    <xf numFmtId="0" fontId="66" fillId="12" borderId="14" xfId="0" applyFont="1" applyFill="1" applyBorder="1" applyAlignment="1">
      <alignment horizontal="center" vertical="center" wrapText="1"/>
    </xf>
    <xf numFmtId="0" fontId="66" fillId="12" borderId="13" xfId="0" applyFont="1" applyFill="1" applyBorder="1" applyAlignment="1">
      <alignment horizontal="center" vertical="center" wrapText="1"/>
    </xf>
    <xf numFmtId="0" fontId="66" fillId="12" borderId="1" xfId="0" applyFont="1" applyFill="1" applyBorder="1" applyAlignment="1">
      <alignment horizontal="center" vertical="center" wrapText="1"/>
    </xf>
    <xf numFmtId="0" fontId="68" fillId="0" borderId="0" xfId="0" applyFont="1" applyAlignment="1">
      <alignment horizontal="left" vertical="center"/>
    </xf>
    <xf numFmtId="0" fontId="68" fillId="0" borderId="0" xfId="0" applyFont="1" applyAlignment="1">
      <alignment horizontal="left"/>
    </xf>
    <xf numFmtId="0" fontId="28" fillId="0" borderId="0" xfId="0" applyFont="1" applyAlignment="1">
      <alignment horizontal="center" vertical="center"/>
    </xf>
    <xf numFmtId="0" fontId="61" fillId="8" borderId="0"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 xfId="0" applyFont="1" applyFill="1" applyBorder="1" applyAlignment="1">
      <alignment horizontal="center" vertical="center" wrapText="1"/>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2" fillId="2" borderId="5" xfId="0" applyFont="1" applyFill="1" applyBorder="1" applyAlignment="1">
      <alignment horizontal="center" vertical="center"/>
    </xf>
    <xf numFmtId="0" fontId="44" fillId="0" borderId="2" xfId="0" applyFont="1" applyFill="1" applyBorder="1" applyAlignment="1">
      <alignment horizontal="center" vertical="top" wrapText="1"/>
    </xf>
    <xf numFmtId="0" fontId="44" fillId="0" borderId="3" xfId="0" applyFont="1" applyFill="1" applyBorder="1" applyAlignment="1">
      <alignment horizontal="center" vertical="top" wrapText="1"/>
    </xf>
    <xf numFmtId="0" fontId="44" fillId="0" borderId="4" xfId="0" applyFont="1" applyFill="1" applyBorder="1" applyAlignment="1">
      <alignment horizontal="center" vertical="top" wrapText="1"/>
    </xf>
    <xf numFmtId="0" fontId="44" fillId="0" borderId="2" xfId="0" applyFont="1" applyFill="1" applyBorder="1" applyAlignment="1">
      <alignment horizontal="center" vertical="center" wrapText="1"/>
    </xf>
    <xf numFmtId="0" fontId="44" fillId="0" borderId="3" xfId="0" applyFont="1" applyFill="1" applyBorder="1" applyAlignment="1">
      <alignment horizontal="center" vertical="center" wrapText="1"/>
    </xf>
    <xf numFmtId="0" fontId="44" fillId="0" borderId="4" xfId="0" applyFont="1" applyFill="1" applyBorder="1" applyAlignment="1">
      <alignment horizontal="center" vertical="center" wrapText="1"/>
    </xf>
    <xf numFmtId="0" fontId="49" fillId="11" borderId="2" xfId="0" applyFont="1" applyFill="1" applyBorder="1" applyAlignment="1">
      <alignment horizontal="center" vertical="center" textRotation="90"/>
    </xf>
    <xf numFmtId="0" fontId="49" fillId="11" borderId="3" xfId="0" applyFont="1" applyFill="1" applyBorder="1" applyAlignment="1">
      <alignment horizontal="center" vertical="center" textRotation="90"/>
    </xf>
    <xf numFmtId="0" fontId="49" fillId="11" borderId="4" xfId="0" applyFont="1" applyFill="1" applyBorder="1" applyAlignment="1">
      <alignment horizontal="center" vertical="center" textRotation="90"/>
    </xf>
    <xf numFmtId="0" fontId="49" fillId="11" borderId="9" xfId="0" applyFont="1" applyFill="1" applyBorder="1" applyAlignment="1">
      <alignment horizontal="center" vertical="center" textRotation="90"/>
    </xf>
    <xf numFmtId="0" fontId="49" fillId="11" borderId="11" xfId="0" applyFont="1" applyFill="1" applyBorder="1" applyAlignment="1">
      <alignment horizontal="center" vertical="center" textRotation="90"/>
    </xf>
    <xf numFmtId="0" fontId="49" fillId="11" borderId="13" xfId="0" applyFont="1" applyFill="1" applyBorder="1" applyAlignment="1">
      <alignment horizontal="center" vertical="center" textRotation="90"/>
    </xf>
    <xf numFmtId="0" fontId="49" fillId="11" borderId="9" xfId="0" applyFont="1" applyFill="1" applyBorder="1" applyAlignment="1">
      <alignment horizontal="center" vertical="center" textRotation="255"/>
    </xf>
    <xf numFmtId="0" fontId="49" fillId="11" borderId="11" xfId="0" applyFont="1" applyFill="1" applyBorder="1" applyAlignment="1">
      <alignment horizontal="center" vertical="center" textRotation="255"/>
    </xf>
    <xf numFmtId="0" fontId="49" fillId="11" borderId="13" xfId="0" applyFont="1" applyFill="1" applyBorder="1" applyAlignment="1">
      <alignment horizontal="center" vertical="center" textRotation="255"/>
    </xf>
    <xf numFmtId="0" fontId="50" fillId="0" borderId="15" xfId="0" applyFont="1" applyFill="1" applyBorder="1" applyAlignment="1">
      <alignment horizontal="center" vertical="center"/>
    </xf>
    <xf numFmtId="0" fontId="50" fillId="0" borderId="0" xfId="0" applyFont="1" applyFill="1" applyBorder="1" applyAlignment="1">
      <alignment horizontal="center" vertical="center"/>
    </xf>
    <xf numFmtId="0" fontId="50" fillId="0" borderId="14" xfId="0" applyFont="1" applyFill="1" applyBorder="1" applyAlignment="1">
      <alignment horizontal="center" vertical="center"/>
    </xf>
    <xf numFmtId="0" fontId="48" fillId="0" borderId="15" xfId="0" applyFont="1" applyFill="1" applyBorder="1" applyAlignment="1">
      <alignment horizontal="center" vertical="center"/>
    </xf>
    <xf numFmtId="0" fontId="48" fillId="0" borderId="0" xfId="0" applyFont="1" applyFill="1" applyBorder="1" applyAlignment="1">
      <alignment horizontal="center" vertical="center"/>
    </xf>
    <xf numFmtId="0" fontId="48" fillId="0" borderId="14" xfId="0" applyFont="1" applyFill="1" applyBorder="1" applyAlignment="1">
      <alignment horizontal="center" vertical="center"/>
    </xf>
    <xf numFmtId="0" fontId="50" fillId="0" borderId="2" xfId="0" applyFont="1" applyFill="1" applyBorder="1" applyAlignment="1">
      <alignment horizontal="center" vertical="center"/>
    </xf>
    <xf numFmtId="0" fontId="50" fillId="0" borderId="3" xfId="0" applyFont="1" applyFill="1" applyBorder="1" applyAlignment="1">
      <alignment horizontal="center" vertical="center"/>
    </xf>
    <xf numFmtId="0" fontId="50" fillId="0" borderId="4" xfId="0" applyFont="1" applyFill="1" applyBorder="1" applyAlignment="1">
      <alignment horizontal="center" vertical="center"/>
    </xf>
    <xf numFmtId="0" fontId="38" fillId="0" borderId="0" xfId="0" applyFont="1" applyAlignment="1">
      <alignment horizontal="left" vertical="justify"/>
    </xf>
    <xf numFmtId="0" fontId="32" fillId="0" borderId="16" xfId="0" applyFont="1" applyBorder="1" applyAlignment="1">
      <alignment horizontal="center"/>
    </xf>
    <xf numFmtId="0" fontId="32" fillId="0" borderId="0" xfId="0" applyFont="1" applyAlignment="1">
      <alignment horizontal="center"/>
    </xf>
    <xf numFmtId="0" fontId="36" fillId="0" borderId="0" xfId="0" applyFont="1" applyAlignment="1">
      <alignment horizontal="left" vertical="center"/>
    </xf>
    <xf numFmtId="0" fontId="24" fillId="0" borderId="10" xfId="0" applyFont="1" applyBorder="1" applyAlignment="1">
      <alignment horizontal="right" vertical="center"/>
    </xf>
    <xf numFmtId="0" fontId="24" fillId="0" borderId="0" xfId="0" applyFont="1" applyBorder="1" applyAlignment="1">
      <alignment horizontal="right" vertical="center"/>
    </xf>
    <xf numFmtId="0" fontId="32" fillId="0" borderId="0" xfId="0" applyFont="1" applyAlignment="1">
      <alignment horizontal="center" vertical="justify"/>
    </xf>
    <xf numFmtId="0" fontId="34" fillId="10" borderId="23" xfId="0" applyFont="1" applyFill="1" applyBorder="1" applyAlignment="1">
      <alignment horizontal="center" vertical="center" wrapText="1"/>
    </xf>
    <xf numFmtId="0" fontId="34" fillId="10" borderId="24" xfId="0" applyFont="1" applyFill="1" applyBorder="1" applyAlignment="1">
      <alignment horizontal="center" vertical="center" wrapText="1"/>
    </xf>
    <xf numFmtId="0" fontId="34" fillId="10" borderId="2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21" fillId="3" borderId="1" xfId="0" applyFont="1" applyFill="1" applyBorder="1" applyAlignment="1">
      <alignment horizontal="center" vertical="center"/>
    </xf>
    <xf numFmtId="0" fontId="9" fillId="5" borderId="1" xfId="0" applyFont="1" applyFill="1" applyBorder="1" applyAlignment="1">
      <alignment horizontal="center" vertical="center"/>
    </xf>
    <xf numFmtId="0" fontId="24" fillId="0" borderId="14" xfId="0" applyFont="1" applyBorder="1" applyAlignment="1">
      <alignment horizontal="right" vertical="center"/>
    </xf>
    <xf numFmtId="0" fontId="30"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28" fillId="2" borderId="10" xfId="0" applyFont="1" applyFill="1" applyBorder="1" applyAlignment="1">
      <alignment horizontal="center" vertical="center" wrapText="1"/>
    </xf>
    <xf numFmtId="0" fontId="28" fillId="2" borderId="0"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31" fillId="3" borderId="1" xfId="0" applyFont="1" applyFill="1" applyBorder="1" applyAlignment="1">
      <alignment horizontal="center" vertical="center"/>
    </xf>
    <xf numFmtId="0" fontId="19" fillId="2" borderId="6"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1" fillId="3" borderId="1" xfId="0" applyFont="1" applyFill="1" applyBorder="1" applyAlignment="1">
      <alignment horizontal="center" vertical="center"/>
    </xf>
    <xf numFmtId="0" fontId="19" fillId="2" borderId="7"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vertical="center"/>
    </xf>
    <xf numFmtId="0" fontId="55" fillId="0" borderId="6" xfId="0" applyFont="1" applyBorder="1" applyAlignment="1">
      <alignment horizontal="justify" vertical="center"/>
    </xf>
    <xf numFmtId="0" fontId="55" fillId="0" borderId="7" xfId="0" applyFont="1" applyBorder="1" applyAlignment="1">
      <alignment horizontal="justify" vertical="center"/>
    </xf>
    <xf numFmtId="0" fontId="55" fillId="0" borderId="5" xfId="0" applyFont="1" applyBorder="1" applyAlignment="1">
      <alignment horizontal="justify" vertical="center"/>
    </xf>
  </cellXfs>
  <cellStyles count="2">
    <cellStyle name="Normal" xfId="0" builtinId="0"/>
    <cellStyle name="Porcentaje" xfId="1" builtinId="5"/>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33CC"/>
      <color rgb="FFFFFFD5"/>
      <color rgb="FFFFE5FF"/>
      <color rgb="FF8FEAFF"/>
      <color rgb="FFE1C2A3"/>
      <color rgb="FFC0C0C0"/>
      <color rgb="FFFFD9FF"/>
      <color rgb="FFFFCCFF"/>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1</xdr:colOff>
      <xdr:row>0</xdr:row>
      <xdr:rowOff>1</xdr:rowOff>
    </xdr:from>
    <xdr:ext cx="1790700" cy="5969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1" y="1"/>
          <a:ext cx="1790700" cy="5969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rabanalr/Documents/SECTUR/Matrices%20de%20evaluaci&#243;n/Gu&#237;as%20de%20evaluaci&#243;n%20del%20SNCT%20(ajustadas)/Subsector%20Hospedaje/Subsector%20Hospedaje%20-%20SNCT%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Generales"/>
      <sheetName val="Evaluacion"/>
      <sheetName val="Calificacion"/>
      <sheetName val="Segunda condicional"/>
      <sheetName val="Tabla de puntuación"/>
      <sheetName val="Marco Legal y Normativo"/>
      <sheetName val="Referentes"/>
      <sheetName val="Comentarios"/>
      <sheetName val="Puntuación"/>
    </sheetNames>
    <sheetDataSet>
      <sheetData sheetId="0"/>
      <sheetData sheetId="1">
        <row r="7">
          <cell r="C7"/>
        </row>
      </sheetData>
      <sheetData sheetId="2">
        <row r="25">
          <cell r="AE25">
            <v>200.2</v>
          </cell>
        </row>
        <row r="32">
          <cell r="AE32">
            <v>159.80000000000004</v>
          </cell>
        </row>
        <row r="49">
          <cell r="AE49">
            <v>100</v>
          </cell>
        </row>
        <row r="51">
          <cell r="AE51">
            <v>120</v>
          </cell>
        </row>
        <row r="59">
          <cell r="AE59">
            <v>260</v>
          </cell>
        </row>
        <row r="71">
          <cell r="AE71">
            <v>119.69999999999999</v>
          </cell>
        </row>
        <row r="78">
          <cell r="AE78">
            <v>120</v>
          </cell>
        </row>
        <row r="81">
          <cell r="AE81">
            <v>100</v>
          </cell>
        </row>
        <row r="83">
          <cell r="AE83">
            <v>219.79999999999998</v>
          </cell>
        </row>
        <row r="100">
          <cell r="AE100">
            <v>220</v>
          </cell>
        </row>
        <row r="107">
          <cell r="AE107">
            <v>220.5</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55" zoomScaleNormal="55" zoomScalePageLayoutView="70" workbookViewId="0">
      <pane ySplit="1" topLeftCell="A8" activePane="bottomLeft" state="frozen"/>
      <selection pane="bottomLeft" activeCell="A16" sqref="A16:B16"/>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99" t="s">
        <v>67</v>
      </c>
      <c r="B1" s="199"/>
      <c r="C1" s="199"/>
      <c r="D1" s="199"/>
      <c r="E1" s="199"/>
      <c r="F1" s="199"/>
      <c r="G1" s="199"/>
      <c r="H1" s="199"/>
      <c r="I1" s="199"/>
    </row>
    <row r="2" spans="1:9" ht="117" customHeight="1" x14ac:dyDescent="0.25">
      <c r="A2" s="200" t="s">
        <v>419</v>
      </c>
      <c r="B2" s="200"/>
      <c r="C2" s="200"/>
      <c r="D2" s="200"/>
      <c r="E2" s="200"/>
      <c r="F2" s="200"/>
      <c r="G2" s="200"/>
      <c r="H2" s="200"/>
      <c r="I2" s="200"/>
    </row>
    <row r="3" spans="1:9" ht="39.75" customHeight="1" x14ac:dyDescent="0.25">
      <c r="A3" s="201" t="s">
        <v>65</v>
      </c>
      <c r="B3" s="201"/>
      <c r="C3" s="201"/>
      <c r="D3" s="201"/>
      <c r="E3" s="201"/>
      <c r="F3" s="201"/>
      <c r="G3" s="201"/>
      <c r="H3" s="201"/>
      <c r="I3" s="201"/>
    </row>
    <row r="4" spans="1:9" ht="117.75" customHeight="1" x14ac:dyDescent="0.25">
      <c r="A4" s="200" t="s">
        <v>420</v>
      </c>
      <c r="B4" s="200"/>
      <c r="C4" s="200"/>
      <c r="D4" s="200"/>
      <c r="E4" s="200"/>
      <c r="F4" s="200"/>
      <c r="G4" s="200"/>
      <c r="H4" s="200"/>
      <c r="I4" s="200"/>
    </row>
    <row r="5" spans="1:9" ht="32.25" customHeight="1" x14ac:dyDescent="0.25">
      <c r="A5" s="201" t="s">
        <v>66</v>
      </c>
      <c r="B5" s="201"/>
      <c r="C5" s="201"/>
      <c r="D5" s="201"/>
      <c r="E5" s="201"/>
      <c r="F5" s="201"/>
      <c r="G5" s="201"/>
      <c r="H5" s="201"/>
      <c r="I5" s="201"/>
    </row>
    <row r="6" spans="1:9" ht="15" customHeight="1" x14ac:dyDescent="0.25">
      <c r="A6" s="158"/>
      <c r="B6" s="159" t="s">
        <v>70</v>
      </c>
      <c r="C6" s="160" t="s">
        <v>67</v>
      </c>
      <c r="D6" s="158"/>
      <c r="E6" s="158"/>
      <c r="F6" s="158"/>
      <c r="G6" s="161"/>
      <c r="H6" s="158"/>
      <c r="I6" s="158"/>
    </row>
    <row r="7" spans="1:9" ht="14.25" customHeight="1" x14ac:dyDescent="0.25">
      <c r="A7" s="158"/>
      <c r="B7" s="159" t="s">
        <v>69</v>
      </c>
      <c r="C7" s="160" t="s">
        <v>68</v>
      </c>
      <c r="D7" s="158"/>
      <c r="E7" s="158"/>
      <c r="F7" s="158"/>
      <c r="G7" s="161"/>
      <c r="H7" s="158"/>
      <c r="I7" s="158"/>
    </row>
    <row r="8" spans="1:9" ht="12" customHeight="1" x14ac:dyDescent="0.25">
      <c r="A8" s="158"/>
      <c r="B8" s="159"/>
      <c r="C8" s="160"/>
      <c r="D8" s="158"/>
      <c r="E8" s="158"/>
      <c r="F8" s="158"/>
      <c r="G8" s="161"/>
      <c r="H8" s="158"/>
      <c r="I8" s="158"/>
    </row>
    <row r="9" spans="1:9" ht="14.25" customHeight="1" x14ac:dyDescent="0.25">
      <c r="A9" s="195" t="s">
        <v>421</v>
      </c>
      <c r="B9" s="195"/>
      <c r="C9" s="195"/>
      <c r="D9" s="195"/>
      <c r="E9" s="195"/>
      <c r="F9" s="195"/>
      <c r="G9" s="195"/>
      <c r="H9" s="195"/>
      <c r="I9" s="195"/>
    </row>
    <row r="10" spans="1:9" ht="19.5" customHeight="1" x14ac:dyDescent="0.25">
      <c r="A10" s="196" t="s">
        <v>71</v>
      </c>
      <c r="B10" s="196"/>
      <c r="C10" s="196"/>
      <c r="D10" s="196"/>
      <c r="E10" s="196"/>
      <c r="F10" s="196"/>
      <c r="G10" s="196"/>
      <c r="H10" s="196"/>
      <c r="I10" s="196"/>
    </row>
    <row r="11" spans="1:9" s="15" customFormat="1" ht="21.75" customHeight="1" x14ac:dyDescent="0.25">
      <c r="A11" s="197" t="s">
        <v>422</v>
      </c>
      <c r="B11" s="198"/>
      <c r="C11" s="197" t="s">
        <v>423</v>
      </c>
      <c r="D11" s="202"/>
      <c r="E11" s="198"/>
      <c r="F11" s="197" t="s">
        <v>424</v>
      </c>
      <c r="G11" s="202"/>
      <c r="H11" s="198"/>
      <c r="I11" s="162" t="s">
        <v>425</v>
      </c>
    </row>
    <row r="12" spans="1:9" ht="32.25" customHeight="1" x14ac:dyDescent="0.25">
      <c r="A12" s="203" t="s">
        <v>8</v>
      </c>
      <c r="B12" s="204"/>
      <c r="C12" s="205" t="s">
        <v>426</v>
      </c>
      <c r="D12" s="206"/>
      <c r="E12" s="207"/>
      <c r="F12" s="333" t="s">
        <v>485</v>
      </c>
      <c r="G12" s="334"/>
      <c r="H12" s="335"/>
      <c r="I12" s="163">
        <v>0</v>
      </c>
    </row>
    <row r="13" spans="1:9" ht="61.5" customHeight="1" x14ac:dyDescent="0.25">
      <c r="A13" s="203" t="s">
        <v>9</v>
      </c>
      <c r="B13" s="204"/>
      <c r="C13" s="211" t="s">
        <v>427</v>
      </c>
      <c r="D13" s="212"/>
      <c r="E13" s="213"/>
      <c r="F13" s="208" t="s">
        <v>428</v>
      </c>
      <c r="G13" s="209"/>
      <c r="H13" s="210"/>
      <c r="I13" s="163">
        <v>0.1</v>
      </c>
    </row>
    <row r="14" spans="1:9" ht="78.75" customHeight="1" x14ac:dyDescent="0.25">
      <c r="A14" s="214" t="s">
        <v>10</v>
      </c>
      <c r="B14" s="215"/>
      <c r="C14" s="216" t="s">
        <v>332</v>
      </c>
      <c r="D14" s="217"/>
      <c r="E14" s="218"/>
      <c r="F14" s="219" t="s">
        <v>486</v>
      </c>
      <c r="G14" s="220"/>
      <c r="H14" s="221"/>
      <c r="I14" s="164">
        <v>0.3</v>
      </c>
    </row>
    <row r="15" spans="1:9" ht="61.5" customHeight="1" x14ac:dyDescent="0.25">
      <c r="A15" s="214" t="s">
        <v>429</v>
      </c>
      <c r="B15" s="215"/>
      <c r="C15" s="222" t="s">
        <v>430</v>
      </c>
      <c r="D15" s="222"/>
      <c r="E15" s="222"/>
      <c r="F15" s="223" t="s">
        <v>487</v>
      </c>
      <c r="G15" s="223"/>
      <c r="H15" s="223"/>
      <c r="I15" s="165">
        <v>0.3</v>
      </c>
    </row>
    <row r="16" spans="1:9" ht="96" customHeight="1" x14ac:dyDescent="0.25">
      <c r="A16" s="224" t="s">
        <v>11</v>
      </c>
      <c r="B16" s="224"/>
      <c r="C16" s="225" t="s">
        <v>431</v>
      </c>
      <c r="D16" s="225"/>
      <c r="E16" s="225"/>
      <c r="F16" s="223" t="s">
        <v>488</v>
      </c>
      <c r="G16" s="223"/>
      <c r="H16" s="223"/>
      <c r="I16" s="163">
        <v>0.6</v>
      </c>
    </row>
    <row r="17" spans="1:9" ht="80.25" customHeight="1" x14ac:dyDescent="0.25">
      <c r="A17" s="203" t="s">
        <v>12</v>
      </c>
      <c r="B17" s="204"/>
      <c r="C17" s="211" t="s">
        <v>432</v>
      </c>
      <c r="D17" s="212"/>
      <c r="E17" s="213"/>
      <c r="F17" s="208" t="s">
        <v>489</v>
      </c>
      <c r="G17" s="209"/>
      <c r="H17" s="210"/>
      <c r="I17" s="163">
        <v>1</v>
      </c>
    </row>
  </sheetData>
  <mergeCells count="28">
    <mergeCell ref="A14:B14"/>
    <mergeCell ref="C14:E14"/>
    <mergeCell ref="F14:H14"/>
    <mergeCell ref="A17:B17"/>
    <mergeCell ref="C17:E17"/>
    <mergeCell ref="F17:H17"/>
    <mergeCell ref="A15:B15"/>
    <mergeCell ref="C15:E15"/>
    <mergeCell ref="F15:H15"/>
    <mergeCell ref="A16:B16"/>
    <mergeCell ref="C16:E16"/>
    <mergeCell ref="F16:H16"/>
    <mergeCell ref="A12:B12"/>
    <mergeCell ref="C12:E12"/>
    <mergeCell ref="F12:H12"/>
    <mergeCell ref="A13:B13"/>
    <mergeCell ref="C13:E13"/>
    <mergeCell ref="F13:H13"/>
    <mergeCell ref="A9:I9"/>
    <mergeCell ref="A10:I10"/>
    <mergeCell ref="A11:B11"/>
    <mergeCell ref="A1:I1"/>
    <mergeCell ref="A2:I2"/>
    <mergeCell ref="A4:I4"/>
    <mergeCell ref="A3:I3"/>
    <mergeCell ref="A5:I5"/>
    <mergeCell ref="C11:E11"/>
    <mergeCell ref="F11:H11"/>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2"/>
  <sheetViews>
    <sheetView zoomScale="85" zoomScaleNormal="85" workbookViewId="0">
      <pane ySplit="2" topLeftCell="A12" activePane="bottomLeft" state="frozen"/>
      <selection pane="bottomLeft" activeCell="C23" sqref="C23"/>
    </sheetView>
  </sheetViews>
  <sheetFormatPr baseColWidth="10" defaultRowHeight="15.75" x14ac:dyDescent="0.25"/>
  <cols>
    <col min="1" max="1" width="18.140625" customWidth="1"/>
    <col min="2" max="2" width="5.85546875" style="10" customWidth="1"/>
    <col min="3" max="3" width="114.140625" style="10" customWidth="1"/>
    <col min="4" max="11" width="11.42578125" style="13"/>
  </cols>
  <sheetData>
    <row r="1" spans="2:12" ht="77.25" customHeight="1" x14ac:dyDescent="0.25">
      <c r="B1" s="306" t="s">
        <v>294</v>
      </c>
      <c r="C1" s="307"/>
    </row>
    <row r="2" spans="2:12" s="15" customFormat="1" ht="26.25" customHeight="1" x14ac:dyDescent="0.25">
      <c r="B2" s="30" t="s">
        <v>1</v>
      </c>
      <c r="C2" s="320" t="s">
        <v>294</v>
      </c>
      <c r="D2" s="321"/>
      <c r="E2" s="14"/>
      <c r="F2" s="14"/>
      <c r="G2" s="14"/>
      <c r="H2" s="14"/>
      <c r="I2" s="14"/>
      <c r="J2" s="14"/>
      <c r="K2" s="14"/>
    </row>
    <row r="3" spans="2:12" s="15" customFormat="1" ht="32.25" customHeight="1" x14ac:dyDescent="0.25">
      <c r="B3" s="322" t="s">
        <v>331</v>
      </c>
      <c r="C3" s="323"/>
      <c r="D3" s="324"/>
      <c r="E3" s="14"/>
      <c r="F3" s="14"/>
      <c r="G3" s="14"/>
      <c r="H3" s="14"/>
      <c r="I3" s="14"/>
      <c r="J3" s="14"/>
      <c r="K3" s="14"/>
      <c r="L3" s="14"/>
    </row>
    <row r="4" spans="2:12" ht="23.25" customHeight="1" x14ac:dyDescent="0.25">
      <c r="B4" s="319" t="s">
        <v>294</v>
      </c>
      <c r="C4" s="319"/>
      <c r="D4" s="36">
        <v>0</v>
      </c>
    </row>
    <row r="5" spans="2:12" ht="47.25" x14ac:dyDescent="0.25">
      <c r="B5" s="16">
        <v>1</v>
      </c>
      <c r="C5" s="29" t="s">
        <v>297</v>
      </c>
      <c r="D5" s="34"/>
    </row>
    <row r="6" spans="2:12" ht="31.5" x14ac:dyDescent="0.25">
      <c r="B6" s="16">
        <v>2</v>
      </c>
      <c r="C6" s="29" t="s">
        <v>298</v>
      </c>
      <c r="D6" s="34"/>
    </row>
    <row r="7" spans="2:12" ht="31.5" x14ac:dyDescent="0.25">
      <c r="B7" s="16">
        <v>3</v>
      </c>
      <c r="C7" s="29" t="s">
        <v>299</v>
      </c>
      <c r="D7" s="34"/>
    </row>
    <row r="8" spans="2:12" ht="47.25" x14ac:dyDescent="0.25">
      <c r="B8" s="16">
        <v>4</v>
      </c>
      <c r="C8" s="29" t="s">
        <v>300</v>
      </c>
      <c r="D8" s="34"/>
    </row>
    <row r="9" spans="2:12" ht="31.5" x14ac:dyDescent="0.25">
      <c r="B9" s="16">
        <v>5</v>
      </c>
      <c r="C9" s="29" t="s">
        <v>301</v>
      </c>
      <c r="D9" s="34"/>
    </row>
    <row r="10" spans="2:12" ht="47.25" x14ac:dyDescent="0.25">
      <c r="B10" s="16">
        <v>6</v>
      </c>
      <c r="C10" s="29" t="s">
        <v>302</v>
      </c>
      <c r="D10" s="34"/>
    </row>
    <row r="11" spans="2:12" ht="47.25" x14ac:dyDescent="0.25">
      <c r="B11" s="16">
        <v>7</v>
      </c>
      <c r="C11" s="29" t="s">
        <v>303</v>
      </c>
      <c r="D11" s="34"/>
    </row>
    <row r="12" spans="2:12" s="13" customFormat="1" ht="27" customHeight="1" x14ac:dyDescent="0.25">
      <c r="B12" s="319" t="s">
        <v>295</v>
      </c>
      <c r="C12" s="319"/>
      <c r="D12" s="31">
        <v>0</v>
      </c>
    </row>
    <row r="13" spans="2:12" s="13" customFormat="1" ht="31.5" x14ac:dyDescent="0.25">
      <c r="B13" s="16">
        <v>1</v>
      </c>
      <c r="C13" s="26" t="s">
        <v>304</v>
      </c>
      <c r="D13" s="34"/>
    </row>
    <row r="14" spans="2:12" s="13" customFormat="1" ht="31.5" x14ac:dyDescent="0.25">
      <c r="B14" s="16">
        <v>2</v>
      </c>
      <c r="C14" s="26" t="s">
        <v>305</v>
      </c>
      <c r="D14" s="34"/>
    </row>
    <row r="15" spans="2:12" s="13" customFormat="1" x14ac:dyDescent="0.25">
      <c r="B15" s="16">
        <v>3</v>
      </c>
      <c r="C15" s="26" t="s">
        <v>306</v>
      </c>
      <c r="D15" s="34"/>
    </row>
    <row r="16" spans="2:12" s="13" customFormat="1" ht="31.5" x14ac:dyDescent="0.25">
      <c r="B16" s="16">
        <v>4</v>
      </c>
      <c r="C16" s="26" t="s">
        <v>307</v>
      </c>
      <c r="D16" s="34"/>
    </row>
    <row r="17" spans="2:4" s="13" customFormat="1" ht="31.5" x14ac:dyDescent="0.25">
      <c r="B17" s="16">
        <v>5</v>
      </c>
      <c r="C17" s="26" t="s">
        <v>308</v>
      </c>
      <c r="D17" s="34"/>
    </row>
    <row r="18" spans="2:4" s="13" customFormat="1" ht="31.5" x14ac:dyDescent="0.25">
      <c r="B18" s="16">
        <v>6</v>
      </c>
      <c r="C18" s="26" t="s">
        <v>309</v>
      </c>
      <c r="D18" s="34"/>
    </row>
    <row r="19" spans="2:4" s="13" customFormat="1" x14ac:dyDescent="0.25">
      <c r="B19" s="16">
        <v>7</v>
      </c>
      <c r="C19" s="26" t="s">
        <v>310</v>
      </c>
      <c r="D19" s="34"/>
    </row>
    <row r="20" spans="2:4" s="13" customFormat="1" ht="31.5" x14ac:dyDescent="0.25">
      <c r="B20" s="16">
        <v>8</v>
      </c>
      <c r="C20" s="26" t="s">
        <v>311</v>
      </c>
      <c r="D20" s="34"/>
    </row>
    <row r="21" spans="2:4" s="13" customFormat="1" ht="31.5" x14ac:dyDescent="0.25">
      <c r="B21" s="16">
        <v>9</v>
      </c>
      <c r="C21" s="26" t="s">
        <v>312</v>
      </c>
      <c r="D21" s="34"/>
    </row>
    <row r="22" spans="2:4" s="13" customFormat="1" ht="24" customHeight="1" x14ac:dyDescent="0.25">
      <c r="B22" s="319" t="s">
        <v>296</v>
      </c>
      <c r="C22" s="319"/>
      <c r="D22" s="35">
        <v>0</v>
      </c>
    </row>
    <row r="23" spans="2:4" s="13" customFormat="1" ht="31.5" x14ac:dyDescent="0.25">
      <c r="B23" s="16">
        <v>17</v>
      </c>
      <c r="C23" s="26" t="s">
        <v>313</v>
      </c>
      <c r="D23" s="34"/>
    </row>
    <row r="24" spans="2:4" s="13" customFormat="1" ht="31.5" x14ac:dyDescent="0.25">
      <c r="B24" s="16">
        <v>18</v>
      </c>
      <c r="C24" s="26" t="s">
        <v>314</v>
      </c>
      <c r="D24" s="34"/>
    </row>
    <row r="25" spans="2:4" s="13" customFormat="1" ht="47.25" x14ac:dyDescent="0.25">
      <c r="B25" s="16">
        <v>19</v>
      </c>
      <c r="C25" s="26" t="s">
        <v>315</v>
      </c>
      <c r="D25" s="34"/>
    </row>
    <row r="26" spans="2:4" s="13" customFormat="1" ht="47.25" x14ac:dyDescent="0.25">
      <c r="B26" s="16">
        <v>20</v>
      </c>
      <c r="C26" s="26" t="s">
        <v>316</v>
      </c>
      <c r="D26" s="34"/>
    </row>
    <row r="27" spans="2:4" s="13" customFormat="1" ht="63" x14ac:dyDescent="0.25">
      <c r="B27" s="16">
        <v>21</v>
      </c>
      <c r="C27" s="26" t="s">
        <v>317</v>
      </c>
      <c r="D27" s="34"/>
    </row>
    <row r="28" spans="2:4" s="13" customFormat="1" ht="78.75" x14ac:dyDescent="0.25">
      <c r="B28" s="16">
        <v>22</v>
      </c>
      <c r="C28" s="26" t="s">
        <v>318</v>
      </c>
      <c r="D28" s="34"/>
    </row>
    <row r="29" spans="2:4" s="13" customFormat="1" ht="53.25" customHeight="1" x14ac:dyDescent="0.25">
      <c r="B29" s="16">
        <v>23</v>
      </c>
      <c r="C29" s="26" t="s">
        <v>319</v>
      </c>
      <c r="D29" s="34"/>
    </row>
    <row r="30" spans="2:4" s="13" customFormat="1" ht="47.25" x14ac:dyDescent="0.25">
      <c r="B30" s="16">
        <v>24</v>
      </c>
      <c r="C30" s="26" t="s">
        <v>320</v>
      </c>
      <c r="D30" s="34"/>
    </row>
    <row r="31" spans="2:4" s="13" customFormat="1" ht="47.25" x14ac:dyDescent="0.25">
      <c r="B31" s="16">
        <v>25</v>
      </c>
      <c r="C31" s="26" t="s">
        <v>321</v>
      </c>
      <c r="D31" s="34"/>
    </row>
    <row r="32" spans="2:4" s="13" customFormat="1" ht="30.75" customHeight="1" x14ac:dyDescent="0.25">
      <c r="B32" s="318" t="s">
        <v>72</v>
      </c>
      <c r="C32" s="318"/>
      <c r="D32" s="33">
        <f>SUM(D5:D31)</f>
        <v>0</v>
      </c>
    </row>
  </sheetData>
  <mergeCells count="7">
    <mergeCell ref="B32:C32"/>
    <mergeCell ref="B1:C1"/>
    <mergeCell ref="B4:C4"/>
    <mergeCell ref="B12:C12"/>
    <mergeCell ref="B22:C22"/>
    <mergeCell ref="C2:D2"/>
    <mergeCell ref="B3:D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55" zoomScaleNormal="55" workbookViewId="0">
      <pane ySplit="2" topLeftCell="A9" activePane="bottomLeft" state="frozen"/>
      <selection pane="bottomLeft" activeCell="A2" sqref="A2:J2"/>
    </sheetView>
  </sheetViews>
  <sheetFormatPr baseColWidth="10" defaultRowHeight="15.75" x14ac:dyDescent="0.25"/>
  <cols>
    <col min="1" max="1" width="4.5703125" style="10" customWidth="1"/>
    <col min="2" max="2" width="30.85546875" style="10" customWidth="1"/>
    <col min="3" max="3" width="13.28515625" style="7" customWidth="1"/>
    <col min="4" max="4" width="14.5703125" style="7" customWidth="1"/>
    <col min="5" max="7" width="13.28515625" style="8" customWidth="1"/>
    <col min="8" max="9" width="13.28515625" style="9" customWidth="1"/>
    <col min="10" max="10" width="13.28515625" style="1" customWidth="1"/>
    <col min="11" max="13" width="11.42578125" style="1"/>
  </cols>
  <sheetData>
    <row r="1" spans="1:13" ht="94.5" customHeight="1" x14ac:dyDescent="0.25">
      <c r="A1" s="226" t="s">
        <v>433</v>
      </c>
      <c r="B1" s="226"/>
      <c r="C1" s="226"/>
      <c r="D1" s="226"/>
      <c r="E1" s="226"/>
      <c r="F1" s="226"/>
      <c r="G1" s="226"/>
      <c r="H1" s="226"/>
      <c r="I1" s="226"/>
      <c r="J1" s="226"/>
    </row>
    <row r="2" spans="1:13" s="167" customFormat="1" ht="129.75" customHeight="1" x14ac:dyDescent="0.25">
      <c r="A2" s="227" t="s">
        <v>434</v>
      </c>
      <c r="B2" s="227"/>
      <c r="C2" s="227"/>
      <c r="D2" s="227"/>
      <c r="E2" s="227"/>
      <c r="F2" s="227"/>
      <c r="G2" s="227"/>
      <c r="H2" s="227"/>
      <c r="I2" s="227"/>
      <c r="J2" s="227"/>
      <c r="K2" s="166"/>
      <c r="L2" s="166"/>
      <c r="M2" s="166"/>
    </row>
    <row r="3" spans="1:13" s="167" customFormat="1" x14ac:dyDescent="0.25">
      <c r="A3" s="228"/>
      <c r="B3" s="228"/>
      <c r="C3" s="228"/>
      <c r="D3" s="228"/>
      <c r="E3" s="228"/>
      <c r="F3" s="228"/>
      <c r="G3" s="228"/>
      <c r="H3" s="228"/>
      <c r="I3" s="228"/>
      <c r="J3" s="228"/>
      <c r="K3" s="166"/>
      <c r="L3" s="166"/>
      <c r="M3" s="166"/>
    </row>
    <row r="4" spans="1:13" s="167" customFormat="1" ht="16.5" customHeight="1" x14ac:dyDescent="0.25">
      <c r="A4" s="229" t="s">
        <v>435</v>
      </c>
      <c r="B4" s="229"/>
      <c r="C4" s="229"/>
      <c r="D4" s="229"/>
      <c r="E4" s="229"/>
      <c r="F4" s="229"/>
      <c r="G4" s="229"/>
      <c r="H4" s="229"/>
      <c r="I4" s="229"/>
      <c r="J4" s="229"/>
      <c r="K4" s="166"/>
      <c r="L4" s="166"/>
      <c r="M4" s="166"/>
    </row>
    <row r="5" spans="1:13" s="167" customFormat="1" ht="15" customHeight="1" x14ac:dyDescent="0.25">
      <c r="A5" s="236" t="s">
        <v>436</v>
      </c>
      <c r="B5" s="236"/>
      <c r="C5" s="230"/>
      <c r="D5" s="230"/>
      <c r="E5" s="231" t="s">
        <v>437</v>
      </c>
      <c r="F5" s="231"/>
      <c r="G5" s="231"/>
      <c r="H5" s="232"/>
      <c r="I5" s="232"/>
      <c r="J5" s="232"/>
      <c r="K5" s="166"/>
      <c r="L5" s="166"/>
      <c r="M5" s="166"/>
    </row>
    <row r="6" spans="1:13" s="153" customFormat="1" ht="31.5" customHeight="1" x14ac:dyDescent="0.25">
      <c r="A6" s="235" t="s">
        <v>438</v>
      </c>
      <c r="B6" s="235"/>
      <c r="C6" s="237" t="s">
        <v>439</v>
      </c>
      <c r="D6" s="237"/>
      <c r="E6" s="237"/>
      <c r="F6" s="237"/>
      <c r="G6" s="233" t="s">
        <v>440</v>
      </c>
      <c r="H6" s="233"/>
      <c r="I6" s="233"/>
      <c r="J6" s="233"/>
      <c r="K6" s="168"/>
      <c r="L6" s="168"/>
      <c r="M6" s="168"/>
    </row>
    <row r="7" spans="1:13" s="153" customFormat="1" x14ac:dyDescent="0.25">
      <c r="A7" s="235" t="s">
        <v>441</v>
      </c>
      <c r="B7" s="235"/>
      <c r="C7" s="234"/>
      <c r="D7" s="234"/>
      <c r="E7" s="234"/>
      <c r="F7" s="234"/>
      <c r="G7" s="234"/>
      <c r="H7" s="234"/>
      <c r="I7" s="234"/>
      <c r="J7" s="234"/>
      <c r="K7" s="168"/>
      <c r="L7" s="168"/>
      <c r="M7" s="168"/>
    </row>
    <row r="8" spans="1:13" s="153" customFormat="1" ht="15" customHeight="1" x14ac:dyDescent="0.25">
      <c r="A8" s="235" t="s">
        <v>442</v>
      </c>
      <c r="B8" s="235"/>
      <c r="C8" s="230"/>
      <c r="D8" s="230"/>
      <c r="E8" s="230"/>
      <c r="F8" s="230"/>
      <c r="G8" s="230"/>
      <c r="H8" s="230"/>
      <c r="I8" s="230"/>
      <c r="J8" s="230"/>
      <c r="K8" s="168"/>
      <c r="L8" s="168"/>
      <c r="M8" s="168"/>
    </row>
    <row r="9" spans="1:13" s="153" customFormat="1" ht="15.75" customHeight="1" x14ac:dyDescent="0.25">
      <c r="A9" s="169" t="s">
        <v>443</v>
      </c>
      <c r="B9" s="170"/>
      <c r="C9" s="230"/>
      <c r="D9" s="230"/>
      <c r="E9" s="230"/>
      <c r="F9" s="230"/>
      <c r="G9" s="230"/>
      <c r="H9" s="230"/>
      <c r="I9" s="230"/>
      <c r="J9" s="230"/>
      <c r="K9" s="168"/>
      <c r="L9" s="168"/>
      <c r="M9" s="168"/>
    </row>
    <row r="10" spans="1:13" s="153" customFormat="1" ht="15.75" customHeight="1" x14ac:dyDescent="0.25">
      <c r="A10" s="235" t="s">
        <v>444</v>
      </c>
      <c r="B10" s="235"/>
      <c r="C10" s="230"/>
      <c r="D10" s="230"/>
      <c r="E10" s="230"/>
      <c r="F10" s="230"/>
      <c r="G10" s="230"/>
      <c r="H10" s="230"/>
      <c r="I10" s="230"/>
      <c r="J10" s="230"/>
      <c r="K10" s="168"/>
      <c r="L10" s="168"/>
      <c r="M10" s="168"/>
    </row>
    <row r="11" spans="1:13" s="153" customFormat="1" ht="15.75" customHeight="1" x14ac:dyDescent="0.25">
      <c r="A11" s="235" t="s">
        <v>445</v>
      </c>
      <c r="B11" s="235"/>
      <c r="C11" s="230"/>
      <c r="D11" s="230"/>
      <c r="E11" s="230"/>
      <c r="F11" s="230"/>
      <c r="G11" s="230"/>
      <c r="H11" s="230"/>
      <c r="I11" s="230"/>
      <c r="J11" s="230"/>
      <c r="K11" s="168"/>
      <c r="L11" s="168"/>
      <c r="M11" s="168"/>
    </row>
    <row r="12" spans="1:13" s="153" customFormat="1" ht="15.75" customHeight="1" x14ac:dyDescent="0.25">
      <c r="A12" s="235" t="s">
        <v>59</v>
      </c>
      <c r="B12" s="235"/>
      <c r="C12" s="230"/>
      <c r="D12" s="230"/>
      <c r="E12" s="230"/>
      <c r="F12" s="230"/>
      <c r="G12" s="230"/>
      <c r="H12" s="230"/>
      <c r="I12" s="230"/>
      <c r="J12" s="230"/>
      <c r="K12" s="168"/>
      <c r="L12" s="168"/>
      <c r="M12" s="168"/>
    </row>
    <row r="13" spans="1:13" s="153" customFormat="1" ht="15.75" customHeight="1" x14ac:dyDescent="0.25">
      <c r="A13" s="235" t="s">
        <v>446</v>
      </c>
      <c r="B13" s="235"/>
      <c r="C13" s="230"/>
      <c r="D13" s="230"/>
      <c r="E13" s="230"/>
      <c r="F13" s="230"/>
      <c r="G13" s="230"/>
      <c r="H13" s="230"/>
      <c r="I13" s="230"/>
      <c r="J13" s="230"/>
      <c r="K13" s="168"/>
      <c r="L13" s="168"/>
      <c r="M13" s="168"/>
    </row>
    <row r="14" spans="1:13" s="153" customFormat="1" ht="15.75" customHeight="1" x14ac:dyDescent="0.25">
      <c r="A14" s="235" t="s">
        <v>447</v>
      </c>
      <c r="B14" s="235"/>
      <c r="C14" s="230"/>
      <c r="D14" s="230"/>
      <c r="E14" s="230"/>
      <c r="F14" s="230"/>
      <c r="G14" s="230"/>
      <c r="H14" s="230"/>
      <c r="I14" s="230"/>
      <c r="J14" s="230"/>
      <c r="K14" s="168"/>
      <c r="L14" s="168"/>
      <c r="M14" s="168"/>
    </row>
    <row r="15" spans="1:13" s="153" customFormat="1" ht="15.75" customHeight="1" x14ac:dyDescent="0.25">
      <c r="A15" s="235" t="s">
        <v>448</v>
      </c>
      <c r="B15" s="235"/>
      <c r="C15" s="230"/>
      <c r="D15" s="230"/>
      <c r="E15" s="230"/>
      <c r="F15" s="230"/>
      <c r="G15" s="230"/>
      <c r="H15" s="230"/>
      <c r="I15" s="230"/>
      <c r="J15" s="230"/>
      <c r="K15" s="168"/>
      <c r="L15" s="168"/>
      <c r="M15" s="168"/>
    </row>
    <row r="16" spans="1:13" s="153" customFormat="1" ht="33" customHeight="1" x14ac:dyDescent="0.25">
      <c r="A16" s="238" t="s">
        <v>449</v>
      </c>
      <c r="B16" s="238"/>
      <c r="C16" s="171" t="s">
        <v>450</v>
      </c>
      <c r="D16" s="171"/>
      <c r="E16" s="172" t="s">
        <v>451</v>
      </c>
      <c r="F16" s="173"/>
      <c r="G16" s="171" t="s">
        <v>452</v>
      </c>
      <c r="H16" s="173"/>
      <c r="I16" s="172" t="s">
        <v>453</v>
      </c>
      <c r="J16" s="174"/>
      <c r="L16" s="175"/>
      <c r="M16" s="168"/>
    </row>
    <row r="17" spans="1:13" s="153" customFormat="1" ht="15.75" customHeight="1" x14ac:dyDescent="0.25">
      <c r="A17" s="239"/>
      <c r="B17" s="239"/>
      <c r="C17" s="239"/>
      <c r="D17" s="239"/>
      <c r="E17" s="239"/>
      <c r="F17" s="239"/>
      <c r="G17" s="239"/>
      <c r="H17" s="239"/>
      <c r="I17" s="239"/>
      <c r="J17" s="239"/>
      <c r="K17" s="168"/>
      <c r="L17" s="168"/>
      <c r="M17" s="168"/>
    </row>
    <row r="18" spans="1:13" s="153" customFormat="1" ht="31.5" customHeight="1" x14ac:dyDescent="0.25">
      <c r="A18" s="240" t="s">
        <v>454</v>
      </c>
      <c r="B18" s="240"/>
      <c r="C18" s="176" t="s">
        <v>455</v>
      </c>
      <c r="D18" s="177"/>
      <c r="E18" s="171" t="s">
        <v>456</v>
      </c>
      <c r="F18" s="178"/>
      <c r="G18" s="241" t="s">
        <v>457</v>
      </c>
      <c r="H18" s="242"/>
      <c r="I18" s="243"/>
      <c r="J18" s="172"/>
      <c r="K18" s="168"/>
      <c r="L18" s="168"/>
      <c r="M18" s="168"/>
    </row>
    <row r="19" spans="1:13" s="153" customFormat="1" ht="15.75" customHeight="1" x14ac:dyDescent="0.25">
      <c r="A19" s="244" t="s">
        <v>458</v>
      </c>
      <c r="B19" s="244"/>
      <c r="C19" s="235" t="s">
        <v>459</v>
      </c>
      <c r="D19" s="235"/>
      <c r="E19" s="230"/>
      <c r="F19" s="230"/>
      <c r="G19" s="230"/>
      <c r="H19" s="230"/>
      <c r="I19" s="230"/>
      <c r="J19" s="230"/>
      <c r="K19" s="168"/>
      <c r="L19" s="168"/>
      <c r="M19" s="168"/>
    </row>
    <row r="20" spans="1:13" s="153" customFormat="1" ht="16.5" x14ac:dyDescent="0.25">
      <c r="A20" s="244"/>
      <c r="B20" s="244"/>
      <c r="C20" s="235" t="s">
        <v>460</v>
      </c>
      <c r="D20" s="235"/>
      <c r="E20" s="245"/>
      <c r="F20" s="245"/>
      <c r="G20" s="245"/>
      <c r="H20" s="245"/>
      <c r="I20" s="245"/>
      <c r="J20" s="245"/>
      <c r="K20" s="168"/>
      <c r="L20" s="168"/>
      <c r="M20" s="168"/>
    </row>
    <row r="21" spans="1:13" s="153" customFormat="1" ht="15.75" customHeight="1" x14ac:dyDescent="0.25">
      <c r="A21" s="244"/>
      <c r="B21" s="244"/>
      <c r="C21" s="235" t="s">
        <v>461</v>
      </c>
      <c r="D21" s="235"/>
      <c r="E21" s="246"/>
      <c r="F21" s="246"/>
      <c r="G21" s="246"/>
      <c r="H21" s="246"/>
      <c r="I21" s="246"/>
      <c r="J21" s="246"/>
      <c r="K21" s="168"/>
      <c r="L21" s="168"/>
      <c r="M21" s="168"/>
    </row>
    <row r="22" spans="1:13" s="153" customFormat="1" ht="15.75" customHeight="1" x14ac:dyDescent="0.25">
      <c r="A22" s="244"/>
      <c r="B22" s="244"/>
      <c r="C22" s="235" t="s">
        <v>462</v>
      </c>
      <c r="D22" s="235"/>
      <c r="E22" s="247"/>
      <c r="F22" s="247"/>
      <c r="G22" s="247"/>
      <c r="H22" s="247"/>
      <c r="I22" s="247"/>
      <c r="J22" s="247"/>
      <c r="K22" s="168"/>
      <c r="L22" s="168"/>
      <c r="M22" s="168"/>
    </row>
    <row r="23" spans="1:13" s="153" customFormat="1" x14ac:dyDescent="0.25">
      <c r="A23" s="244"/>
      <c r="B23" s="244"/>
      <c r="C23" s="235" t="s">
        <v>463</v>
      </c>
      <c r="D23" s="235"/>
      <c r="E23" s="248"/>
      <c r="F23" s="248"/>
      <c r="G23" s="248"/>
      <c r="H23" s="248"/>
      <c r="I23" s="248"/>
      <c r="J23" s="248"/>
      <c r="K23" s="168"/>
      <c r="L23" s="168"/>
      <c r="M23" s="168"/>
    </row>
    <row r="24" spans="1:13" s="153" customFormat="1" ht="15.75" customHeight="1" x14ac:dyDescent="0.25">
      <c r="A24" s="244"/>
      <c r="B24" s="244"/>
      <c r="C24" s="169" t="s">
        <v>464</v>
      </c>
      <c r="D24" s="169"/>
      <c r="E24" s="247"/>
      <c r="F24" s="247"/>
      <c r="G24" s="247"/>
      <c r="H24" s="247"/>
      <c r="I24" s="247"/>
      <c r="J24" s="247"/>
      <c r="K24" s="168"/>
      <c r="L24" s="168"/>
      <c r="M24" s="168"/>
    </row>
    <row r="25" spans="1:13" s="153" customFormat="1" ht="16.5" x14ac:dyDescent="0.25">
      <c r="A25" s="249" t="s">
        <v>465</v>
      </c>
      <c r="B25" s="249"/>
      <c r="C25" s="249"/>
      <c r="D25" s="249"/>
      <c r="E25" s="249"/>
      <c r="F25" s="249"/>
      <c r="G25" s="249"/>
      <c r="H25" s="249"/>
      <c r="I25" s="249"/>
      <c r="J25" s="249"/>
      <c r="K25" s="168"/>
      <c r="L25" s="168"/>
      <c r="M25" s="168"/>
    </row>
    <row r="26" spans="1:13" s="180" customFormat="1" ht="15" customHeight="1" x14ac:dyDescent="0.25">
      <c r="A26" s="250" t="s">
        <v>466</v>
      </c>
      <c r="B26" s="250"/>
      <c r="C26" s="251"/>
      <c r="D26" s="252"/>
      <c r="E26" s="252"/>
      <c r="F26" s="252"/>
      <c r="G26" s="252"/>
      <c r="H26" s="252"/>
      <c r="I26" s="252"/>
      <c r="J26" s="253"/>
      <c r="K26" s="179"/>
      <c r="L26" s="179"/>
      <c r="M26" s="179"/>
    </row>
    <row r="27" spans="1:13" s="180" customFormat="1" ht="15" customHeight="1" x14ac:dyDescent="0.2">
      <c r="A27" s="250" t="s">
        <v>467</v>
      </c>
      <c r="B27" s="250"/>
      <c r="C27" s="254"/>
      <c r="D27" s="255"/>
      <c r="E27" s="255"/>
      <c r="F27" s="255"/>
      <c r="G27" s="255"/>
      <c r="H27" s="255"/>
      <c r="I27" s="255"/>
      <c r="J27" s="256"/>
      <c r="K27" s="179"/>
      <c r="L27" s="179"/>
      <c r="M27" s="179"/>
    </row>
    <row r="28" spans="1:13" s="180" customFormat="1" ht="16.5" x14ac:dyDescent="0.2">
      <c r="A28" s="250" t="s">
        <v>59</v>
      </c>
      <c r="B28" s="250"/>
      <c r="C28" s="254"/>
      <c r="D28" s="255"/>
      <c r="E28" s="255"/>
      <c r="F28" s="255"/>
      <c r="G28" s="255"/>
      <c r="H28" s="255"/>
      <c r="I28" s="255"/>
      <c r="J28" s="256"/>
      <c r="K28" s="179"/>
      <c r="L28" s="179"/>
      <c r="M28" s="179"/>
    </row>
    <row r="29" spans="1:13" s="180" customFormat="1" ht="14.25" customHeight="1" x14ac:dyDescent="0.2">
      <c r="A29" s="250" t="s">
        <v>468</v>
      </c>
      <c r="B29" s="250"/>
      <c r="C29" s="254"/>
      <c r="D29" s="255"/>
      <c r="E29" s="255"/>
      <c r="F29" s="255"/>
      <c r="G29" s="255"/>
      <c r="H29" s="255"/>
      <c r="I29" s="255"/>
      <c r="J29" s="256"/>
      <c r="K29" s="179"/>
      <c r="L29" s="179"/>
      <c r="M29" s="179"/>
    </row>
    <row r="30" spans="1:13" s="180" customFormat="1" ht="14.25" customHeight="1" x14ac:dyDescent="0.2">
      <c r="A30" s="250" t="s">
        <v>448</v>
      </c>
      <c r="B30" s="250"/>
      <c r="C30" s="257"/>
      <c r="D30" s="258"/>
      <c r="E30" s="258"/>
      <c r="F30" s="258"/>
      <c r="G30" s="258"/>
      <c r="H30" s="258"/>
      <c r="I30" s="258"/>
      <c r="J30" s="259"/>
      <c r="K30" s="179"/>
      <c r="L30" s="179"/>
      <c r="M30" s="179"/>
    </row>
    <row r="31" spans="1:13" s="180" customFormat="1" ht="14.25" customHeight="1" x14ac:dyDescent="0.2">
      <c r="A31" s="250" t="s">
        <v>469</v>
      </c>
      <c r="B31" s="250"/>
      <c r="C31" s="257"/>
      <c r="D31" s="258"/>
      <c r="E31" s="258"/>
      <c r="F31" s="258"/>
      <c r="G31" s="258"/>
      <c r="H31" s="258"/>
      <c r="I31" s="258"/>
      <c r="J31" s="259"/>
      <c r="K31" s="179"/>
      <c r="L31" s="179"/>
      <c r="M31" s="179"/>
    </row>
    <row r="32" spans="1:13" s="180" customFormat="1" ht="14.25" customHeight="1" x14ac:dyDescent="0.2">
      <c r="A32" s="250" t="s">
        <v>470</v>
      </c>
      <c r="B32" s="250"/>
      <c r="C32" s="257"/>
      <c r="D32" s="258"/>
      <c r="E32" s="258"/>
      <c r="F32" s="258"/>
      <c r="G32" s="258"/>
      <c r="H32" s="258"/>
      <c r="I32" s="258"/>
      <c r="J32" s="259"/>
      <c r="K32" s="179"/>
      <c r="L32" s="179"/>
      <c r="M32" s="179"/>
    </row>
    <row r="33" spans="1:13" s="180" customFormat="1" ht="15.75" customHeight="1" x14ac:dyDescent="0.2">
      <c r="A33" s="249" t="s">
        <v>60</v>
      </c>
      <c r="B33" s="249"/>
      <c r="C33" s="249"/>
      <c r="D33" s="249"/>
      <c r="E33" s="249"/>
      <c r="F33" s="249"/>
      <c r="G33" s="249"/>
      <c r="H33" s="249"/>
      <c r="I33" s="249"/>
      <c r="J33" s="249"/>
      <c r="K33" s="179"/>
      <c r="L33" s="179"/>
      <c r="M33" s="179"/>
    </row>
    <row r="34" spans="1:13" s="180" customFormat="1" ht="16.5" x14ac:dyDescent="0.2">
      <c r="A34" s="260" t="s">
        <v>471</v>
      </c>
      <c r="B34" s="249"/>
      <c r="C34" s="249"/>
      <c r="D34" s="249"/>
      <c r="E34" s="261"/>
      <c r="F34" s="265" t="s">
        <v>61</v>
      </c>
      <c r="G34" s="265"/>
      <c r="H34" s="265"/>
      <c r="I34" s="260" t="s">
        <v>13</v>
      </c>
      <c r="J34" s="261"/>
      <c r="K34" s="179"/>
      <c r="L34" s="179"/>
      <c r="M34" s="179"/>
    </row>
    <row r="35" spans="1:13" s="180" customFormat="1" ht="15.75" customHeight="1" x14ac:dyDescent="0.2">
      <c r="A35" s="262"/>
      <c r="B35" s="263"/>
      <c r="C35" s="263"/>
      <c r="D35" s="263"/>
      <c r="E35" s="264"/>
      <c r="F35" s="181" t="s">
        <v>57</v>
      </c>
      <c r="G35" s="182" t="s">
        <v>58</v>
      </c>
      <c r="H35" s="181" t="s">
        <v>472</v>
      </c>
      <c r="I35" s="262"/>
      <c r="J35" s="264"/>
      <c r="K35" s="179"/>
      <c r="L35" s="179"/>
      <c r="M35" s="179"/>
    </row>
    <row r="36" spans="1:13" s="180" customFormat="1" ht="15.75" customHeight="1" x14ac:dyDescent="0.25">
      <c r="A36" s="233" t="s">
        <v>14</v>
      </c>
      <c r="B36" s="233"/>
      <c r="C36" s="233"/>
      <c r="D36" s="233"/>
      <c r="E36" s="233"/>
      <c r="F36" s="183"/>
      <c r="G36" s="183"/>
      <c r="H36" s="184"/>
      <c r="I36" s="184"/>
      <c r="J36" s="184"/>
      <c r="K36" s="179"/>
      <c r="L36" s="179"/>
      <c r="M36" s="179"/>
    </row>
    <row r="37" spans="1:13" s="180" customFormat="1" ht="15.75" customHeight="1" x14ac:dyDescent="0.25">
      <c r="A37" s="233" t="s">
        <v>473</v>
      </c>
      <c r="B37" s="233"/>
      <c r="C37" s="233"/>
      <c r="D37" s="233"/>
      <c r="E37" s="233"/>
      <c r="F37" s="185"/>
      <c r="G37" s="185"/>
      <c r="H37" s="185"/>
      <c r="I37" s="185"/>
      <c r="J37" s="184"/>
      <c r="K37" s="179"/>
      <c r="L37" s="179"/>
      <c r="M37" s="179"/>
    </row>
    <row r="38" spans="1:13" s="180" customFormat="1" x14ac:dyDescent="0.25">
      <c r="A38" s="250" t="s">
        <v>15</v>
      </c>
      <c r="B38" s="250"/>
      <c r="C38" s="250"/>
      <c r="D38" s="250"/>
      <c r="E38" s="250"/>
      <c r="F38" s="183"/>
      <c r="G38" s="183"/>
      <c r="H38" s="184"/>
      <c r="I38" s="184"/>
      <c r="J38" s="184"/>
      <c r="K38" s="179"/>
      <c r="L38" s="179"/>
      <c r="M38" s="179"/>
    </row>
    <row r="39" spans="1:13" s="180" customFormat="1" ht="15.75" customHeight="1" x14ac:dyDescent="0.25">
      <c r="A39" s="250" t="s">
        <v>16</v>
      </c>
      <c r="B39" s="250"/>
      <c r="C39" s="250"/>
      <c r="D39" s="250"/>
      <c r="E39" s="250"/>
      <c r="F39" s="185"/>
      <c r="G39" s="185"/>
      <c r="H39" s="185"/>
      <c r="I39" s="185"/>
      <c r="J39" s="184"/>
      <c r="K39" s="179"/>
      <c r="L39" s="179"/>
      <c r="M39" s="179"/>
    </row>
    <row r="40" spans="1:13" s="180" customFormat="1" ht="15.75" customHeight="1" x14ac:dyDescent="0.25">
      <c r="A40" s="250" t="s">
        <v>474</v>
      </c>
      <c r="B40" s="250"/>
      <c r="C40" s="250"/>
      <c r="D40" s="250"/>
      <c r="E40" s="250"/>
      <c r="F40" s="183"/>
      <c r="G40" s="183"/>
      <c r="H40" s="184"/>
      <c r="I40" s="184"/>
      <c r="J40" s="184"/>
      <c r="K40" s="179"/>
      <c r="L40" s="179"/>
      <c r="M40" s="179"/>
    </row>
    <row r="41" spans="1:13" s="180" customFormat="1" ht="15.75" customHeight="1" x14ac:dyDescent="0.25">
      <c r="A41" s="250" t="s">
        <v>17</v>
      </c>
      <c r="B41" s="250"/>
      <c r="C41" s="250"/>
      <c r="D41" s="250"/>
      <c r="E41" s="250"/>
      <c r="F41" s="183"/>
      <c r="G41" s="183"/>
      <c r="H41" s="184"/>
      <c r="I41" s="184"/>
      <c r="J41" s="184"/>
      <c r="K41" s="179"/>
      <c r="L41" s="179"/>
      <c r="M41" s="179"/>
    </row>
    <row r="42" spans="1:13" s="180" customFormat="1" ht="15.75" customHeight="1" x14ac:dyDescent="0.25">
      <c r="A42" s="250" t="s">
        <v>475</v>
      </c>
      <c r="B42" s="250"/>
      <c r="C42" s="250"/>
      <c r="D42" s="250"/>
      <c r="E42" s="250"/>
      <c r="F42" s="183"/>
      <c r="G42" s="183"/>
      <c r="H42" s="184"/>
      <c r="I42" s="184"/>
      <c r="J42" s="184"/>
      <c r="K42" s="179"/>
      <c r="L42" s="179"/>
      <c r="M42" s="179"/>
    </row>
    <row r="43" spans="1:13" s="180" customFormat="1" ht="33" customHeight="1" x14ac:dyDescent="0.25">
      <c r="A43" s="250" t="s">
        <v>476</v>
      </c>
      <c r="B43" s="250"/>
      <c r="C43" s="250"/>
      <c r="D43" s="250"/>
      <c r="E43" s="250"/>
      <c r="F43" s="183"/>
      <c r="G43" s="183"/>
      <c r="H43" s="184"/>
      <c r="I43" s="184"/>
      <c r="J43" s="184"/>
      <c r="K43" s="179"/>
      <c r="L43" s="179"/>
      <c r="M43" s="179"/>
    </row>
    <row r="44" spans="1:13" s="180" customFormat="1" ht="15" customHeight="1" x14ac:dyDescent="0.25">
      <c r="A44" s="250" t="s">
        <v>477</v>
      </c>
      <c r="B44" s="250"/>
      <c r="C44" s="250"/>
      <c r="D44" s="250"/>
      <c r="E44" s="250"/>
      <c r="F44" s="183"/>
      <c r="G44" s="183"/>
      <c r="H44" s="184"/>
      <c r="I44" s="184"/>
      <c r="J44" s="184"/>
      <c r="K44" s="179"/>
      <c r="L44" s="179"/>
      <c r="M44" s="179"/>
    </row>
    <row r="45" spans="1:13" s="180" customFormat="1" ht="13.5" customHeight="1" x14ac:dyDescent="0.2">
      <c r="A45" s="249"/>
      <c r="B45" s="249"/>
      <c r="C45" s="249"/>
      <c r="D45" s="249"/>
      <c r="E45" s="249"/>
      <c r="F45" s="249"/>
      <c r="G45" s="249"/>
      <c r="H45" s="249"/>
      <c r="I45" s="249"/>
      <c r="J45" s="249"/>
      <c r="K45" s="179"/>
      <c r="L45" s="179"/>
      <c r="M45" s="179"/>
    </row>
    <row r="46" spans="1:13" s="180" customFormat="1" ht="51.75" customHeight="1" x14ac:dyDescent="0.25">
      <c r="A46" s="184"/>
      <c r="B46" s="250" t="s">
        <v>478</v>
      </c>
      <c r="C46" s="250"/>
      <c r="D46" s="250"/>
      <c r="E46" s="250"/>
      <c r="F46" s="250"/>
      <c r="G46" s="250"/>
      <c r="H46" s="250"/>
      <c r="I46" s="250"/>
      <c r="J46" s="250"/>
      <c r="K46" s="179"/>
      <c r="L46" s="179"/>
      <c r="M46" s="179"/>
    </row>
    <row r="47" spans="1:13" s="180" customFormat="1" ht="52.5" customHeight="1" x14ac:dyDescent="0.25">
      <c r="A47" s="184"/>
      <c r="B47" s="250" t="s">
        <v>479</v>
      </c>
      <c r="C47" s="250"/>
      <c r="D47" s="250"/>
      <c r="E47" s="250"/>
      <c r="F47" s="250"/>
      <c r="G47" s="250"/>
      <c r="H47" s="250"/>
      <c r="I47" s="250"/>
      <c r="J47" s="250"/>
      <c r="K47" s="179"/>
      <c r="L47" s="179"/>
      <c r="M47" s="179"/>
    </row>
    <row r="48" spans="1:13" s="180" customFormat="1" ht="33.75" customHeight="1" x14ac:dyDescent="0.25">
      <c r="A48" s="184"/>
      <c r="B48" s="250" t="s">
        <v>480</v>
      </c>
      <c r="C48" s="250"/>
      <c r="D48" s="250"/>
      <c r="E48" s="250"/>
      <c r="F48" s="250"/>
      <c r="G48" s="250"/>
      <c r="H48" s="250"/>
      <c r="I48" s="250"/>
      <c r="J48" s="250"/>
      <c r="K48" s="179"/>
      <c r="L48" s="179"/>
      <c r="M48" s="179"/>
    </row>
    <row r="49" spans="1:13" s="180" customFormat="1" ht="16.5" x14ac:dyDescent="0.25">
      <c r="A49" s="186"/>
      <c r="B49" s="186"/>
      <c r="C49" s="187"/>
      <c r="D49" s="187"/>
      <c r="E49" s="187"/>
      <c r="F49" s="187"/>
      <c r="G49" s="187"/>
      <c r="H49" s="188"/>
      <c r="I49" s="188"/>
      <c r="J49" s="189"/>
      <c r="K49" s="179"/>
      <c r="L49" s="179"/>
      <c r="M49" s="179"/>
    </row>
    <row r="50" spans="1:13" s="180" customFormat="1" ht="13.5" customHeight="1" x14ac:dyDescent="0.2">
      <c r="A50" s="266" t="s">
        <v>481</v>
      </c>
      <c r="B50" s="266"/>
      <c r="C50" s="266"/>
      <c r="D50" s="266"/>
      <c r="E50" s="266"/>
      <c r="F50" s="266"/>
      <c r="G50" s="266"/>
      <c r="H50" s="266"/>
      <c r="I50" s="266"/>
      <c r="J50" s="266"/>
      <c r="K50" s="179"/>
      <c r="L50" s="179"/>
      <c r="M50" s="179"/>
    </row>
    <row r="51" spans="1:13" s="180" customFormat="1" ht="13.5" customHeight="1" x14ac:dyDescent="0.25">
      <c r="A51" s="267" t="s">
        <v>482</v>
      </c>
      <c r="B51" s="267"/>
      <c r="C51" s="267"/>
      <c r="D51" s="267"/>
      <c r="E51" s="267"/>
      <c r="F51" s="267"/>
      <c r="G51" s="267"/>
      <c r="H51" s="267"/>
      <c r="I51" s="267"/>
      <c r="J51" s="267"/>
      <c r="K51" s="179"/>
      <c r="L51" s="179"/>
      <c r="M51" s="179"/>
    </row>
    <row r="52" spans="1:13" s="153" customFormat="1" ht="16.5" x14ac:dyDescent="0.25">
      <c r="A52" s="190"/>
      <c r="B52" s="190"/>
      <c r="C52" s="190"/>
      <c r="D52" s="190"/>
      <c r="E52" s="190"/>
      <c r="F52" s="190"/>
      <c r="G52" s="190"/>
      <c r="H52" s="190"/>
      <c r="I52" s="190"/>
      <c r="J52" s="191"/>
      <c r="K52" s="168"/>
      <c r="L52" s="168"/>
      <c r="M52" s="168"/>
    </row>
    <row r="53" spans="1:13" s="153" customFormat="1" ht="16.5" x14ac:dyDescent="0.25">
      <c r="A53" s="268" t="s">
        <v>483</v>
      </c>
      <c r="B53" s="268"/>
      <c r="C53" s="268"/>
      <c r="D53" s="268"/>
      <c r="E53" s="268"/>
      <c r="F53" s="268"/>
      <c r="G53" s="268"/>
      <c r="H53" s="268"/>
      <c r="I53" s="268"/>
      <c r="J53" s="268"/>
      <c r="K53" s="168"/>
      <c r="L53" s="168"/>
      <c r="M53" s="168"/>
    </row>
    <row r="54" spans="1:13" s="153" customFormat="1" ht="50.25" customHeight="1" x14ac:dyDescent="0.25">
      <c r="A54" s="192"/>
      <c r="B54" s="192"/>
      <c r="C54" s="192"/>
      <c r="D54" s="192"/>
      <c r="E54" s="192"/>
      <c r="F54" s="192"/>
      <c r="G54" s="192"/>
      <c r="H54" s="192"/>
      <c r="I54" s="192"/>
      <c r="J54" s="191"/>
      <c r="K54" s="168"/>
      <c r="L54" s="168"/>
      <c r="M54" s="168"/>
    </row>
    <row r="55" spans="1:13" s="153" customFormat="1" ht="16.5" x14ac:dyDescent="0.25">
      <c r="A55" s="269" t="s">
        <v>484</v>
      </c>
      <c r="B55" s="269"/>
      <c r="C55" s="269"/>
      <c r="D55" s="269"/>
      <c r="E55" s="269"/>
      <c r="F55" s="269"/>
      <c r="G55" s="269"/>
      <c r="H55" s="269"/>
      <c r="I55" s="269"/>
      <c r="J55" s="269"/>
      <c r="K55" s="168"/>
      <c r="L55" s="168"/>
      <c r="M55" s="168"/>
    </row>
    <row r="56" spans="1:13" s="153" customFormat="1" ht="15" x14ac:dyDescent="0.25">
      <c r="A56" s="193"/>
      <c r="B56" s="193"/>
      <c r="C56" s="193"/>
      <c r="D56" s="193"/>
      <c r="E56" s="193"/>
      <c r="F56" s="193"/>
      <c r="G56" s="193"/>
      <c r="H56" s="193"/>
      <c r="I56" s="193"/>
      <c r="J56" s="194"/>
      <c r="K56" s="168"/>
      <c r="L56" s="168"/>
      <c r="M56" s="168"/>
    </row>
    <row r="57" spans="1:13" s="153" customFormat="1" ht="15" x14ac:dyDescent="0.25">
      <c r="A57" s="179"/>
      <c r="B57" s="179"/>
      <c r="C57" s="179"/>
      <c r="D57" s="179"/>
      <c r="E57" s="179"/>
      <c r="F57" s="179"/>
      <c r="G57" s="180"/>
      <c r="H57" s="180"/>
      <c r="I57" s="180"/>
      <c r="J57" s="168"/>
      <c r="K57" s="168"/>
      <c r="L57" s="168"/>
      <c r="M57" s="168"/>
    </row>
    <row r="58" spans="1:13" s="153" customFormat="1" ht="15" x14ac:dyDescent="0.25">
      <c r="A58" s="179"/>
      <c r="B58" s="179"/>
      <c r="C58" s="179"/>
      <c r="D58" s="179"/>
      <c r="E58" s="179"/>
      <c r="F58" s="179"/>
      <c r="G58" s="180"/>
      <c r="H58" s="180"/>
      <c r="I58" s="180"/>
      <c r="J58" s="168"/>
      <c r="K58" s="168"/>
      <c r="L58" s="168"/>
      <c r="M58" s="168"/>
    </row>
    <row r="59" spans="1:13" s="153" customFormat="1" ht="15" x14ac:dyDescent="0.25">
      <c r="A59" s="179"/>
      <c r="B59" s="179"/>
      <c r="C59" s="179"/>
      <c r="D59" s="179"/>
      <c r="E59" s="179"/>
      <c r="F59" s="179"/>
      <c r="G59" s="180"/>
      <c r="H59" s="180"/>
      <c r="I59" s="180"/>
      <c r="J59" s="168"/>
      <c r="K59" s="168"/>
      <c r="L59" s="168"/>
      <c r="M59" s="168"/>
    </row>
    <row r="60" spans="1:13" s="153" customFormat="1" ht="15" x14ac:dyDescent="0.25">
      <c r="A60" s="179"/>
      <c r="B60" s="179"/>
      <c r="C60" s="179"/>
      <c r="D60" s="179"/>
      <c r="E60" s="179"/>
      <c r="F60" s="179"/>
      <c r="G60" s="180"/>
      <c r="H60" s="180"/>
      <c r="I60" s="180"/>
      <c r="J60" s="168"/>
      <c r="K60" s="168"/>
      <c r="L60" s="168"/>
      <c r="M60" s="168"/>
    </row>
    <row r="61" spans="1:13" s="153" customFormat="1" ht="15" x14ac:dyDescent="0.25">
      <c r="A61" s="168"/>
      <c r="B61" s="168"/>
      <c r="C61" s="168"/>
      <c r="D61" s="168"/>
      <c r="E61" s="168"/>
      <c r="F61" s="168"/>
      <c r="J61" s="168"/>
      <c r="K61" s="168"/>
      <c r="L61" s="168"/>
      <c r="M61" s="168"/>
    </row>
  </sheetData>
  <mergeCells count="80">
    <mergeCell ref="B48:J48"/>
    <mergeCell ref="A50:J50"/>
    <mergeCell ref="A51:J51"/>
    <mergeCell ref="A53:J53"/>
    <mergeCell ref="A55:J55"/>
    <mergeCell ref="A43:E43"/>
    <mergeCell ref="A44:E44"/>
    <mergeCell ref="A45:J45"/>
    <mergeCell ref="B46:J46"/>
    <mergeCell ref="B47:J47"/>
    <mergeCell ref="A38:E38"/>
    <mergeCell ref="A39:E39"/>
    <mergeCell ref="A40:E40"/>
    <mergeCell ref="A41:E41"/>
    <mergeCell ref="A42:E42"/>
    <mergeCell ref="A34:E35"/>
    <mergeCell ref="F34:H34"/>
    <mergeCell ref="I34:J35"/>
    <mergeCell ref="A36:E36"/>
    <mergeCell ref="A37:E37"/>
    <mergeCell ref="A31:B31"/>
    <mergeCell ref="C31:J31"/>
    <mergeCell ref="A32:B32"/>
    <mergeCell ref="C32:J32"/>
    <mergeCell ref="A33:J33"/>
    <mergeCell ref="A28:B28"/>
    <mergeCell ref="C28:J28"/>
    <mergeCell ref="A29:B29"/>
    <mergeCell ref="C29:J29"/>
    <mergeCell ref="A30:B30"/>
    <mergeCell ref="C30:J30"/>
    <mergeCell ref="A25:J25"/>
    <mergeCell ref="A26:B26"/>
    <mergeCell ref="C26:J26"/>
    <mergeCell ref="A27:B27"/>
    <mergeCell ref="C27:J27"/>
    <mergeCell ref="A19:B24"/>
    <mergeCell ref="E19:J19"/>
    <mergeCell ref="E20:J20"/>
    <mergeCell ref="C21:D21"/>
    <mergeCell ref="E21:J21"/>
    <mergeCell ref="C22:D22"/>
    <mergeCell ref="E22:J22"/>
    <mergeCell ref="C23:D23"/>
    <mergeCell ref="E23:J23"/>
    <mergeCell ref="E24:J24"/>
    <mergeCell ref="C19:D19"/>
    <mergeCell ref="C20:D20"/>
    <mergeCell ref="A15:B15"/>
    <mergeCell ref="C15:J15"/>
    <mergeCell ref="A16:B16"/>
    <mergeCell ref="A17:J17"/>
    <mergeCell ref="A18:B18"/>
    <mergeCell ref="G18:I18"/>
    <mergeCell ref="A12:B12"/>
    <mergeCell ref="C12:J12"/>
    <mergeCell ref="A13:B13"/>
    <mergeCell ref="C13:J13"/>
    <mergeCell ref="A14:B14"/>
    <mergeCell ref="C14:J14"/>
    <mergeCell ref="C9:J9"/>
    <mergeCell ref="A10:B10"/>
    <mergeCell ref="C10:J10"/>
    <mergeCell ref="A11:B11"/>
    <mergeCell ref="C11:J11"/>
    <mergeCell ref="G6:J6"/>
    <mergeCell ref="C7:J7"/>
    <mergeCell ref="A8:B8"/>
    <mergeCell ref="C8:J8"/>
    <mergeCell ref="A5:B5"/>
    <mergeCell ref="A6:B6"/>
    <mergeCell ref="A7:B7"/>
    <mergeCell ref="C6:F6"/>
    <mergeCell ref="A1:J1"/>
    <mergeCell ref="A2:J2"/>
    <mergeCell ref="A3:J3"/>
    <mergeCell ref="A4:J4"/>
    <mergeCell ref="C5:D5"/>
    <mergeCell ref="E5:G5"/>
    <mergeCell ref="H5:J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60"/>
  <sheetViews>
    <sheetView zoomScale="55" zoomScaleNormal="55" workbookViewId="0">
      <pane xSplit="2" ySplit="4" topLeftCell="G153" activePane="bottomRight" state="frozen"/>
      <selection pane="topRight" activeCell="C1" sqref="C1"/>
      <selection pane="bottomLeft" activeCell="A3" sqref="A3"/>
      <selection pane="bottomRight" activeCell="AD166" sqref="AD166"/>
    </sheetView>
  </sheetViews>
  <sheetFormatPr baseColWidth="10" defaultRowHeight="12" x14ac:dyDescent="0.25"/>
  <cols>
    <col min="1" max="1" width="8.42578125" style="61" customWidth="1"/>
    <col min="2" max="2" width="7.28515625" style="61" customWidth="1"/>
    <col min="3" max="3" width="4.7109375" style="12" customWidth="1"/>
    <col min="4" max="4" width="26.28515625" style="62" customWidth="1"/>
    <col min="5" max="5" width="5" style="62" customWidth="1"/>
    <col min="6" max="6" width="36.42578125" style="61" customWidth="1"/>
    <col min="7" max="7" width="5.85546875" style="61" customWidth="1"/>
    <col min="8" max="8" width="49.85546875" style="62" customWidth="1"/>
    <col min="9" max="9" width="23.5703125" style="63" customWidth="1"/>
    <col min="10" max="15" width="5.42578125" style="61" customWidth="1"/>
    <col min="16" max="16" width="1.85546875" style="61" customWidth="1"/>
    <col min="17" max="17" width="5.42578125" style="61" customWidth="1"/>
    <col min="18" max="21" width="5.5703125" style="61" bestFit="1" customWidth="1"/>
    <col min="22" max="22" width="5.5703125" style="76" bestFit="1" customWidth="1"/>
    <col min="23" max="23" width="2" style="61" customWidth="1"/>
    <col min="24" max="28" width="5.42578125" style="61" customWidth="1"/>
    <col min="29" max="29" width="13.5703125" style="61" customWidth="1"/>
    <col min="30" max="30" width="23.7109375" style="61" customWidth="1"/>
    <col min="31" max="31" width="20.85546875" style="61" customWidth="1"/>
    <col min="32" max="56" width="11.42578125" style="153"/>
    <col min="57" max="16384" width="11.42578125" style="60"/>
  </cols>
  <sheetData>
    <row r="1" spans="1:56" ht="30.75" customHeight="1" x14ac:dyDescent="0.25">
      <c r="A1" s="275" t="s">
        <v>91</v>
      </c>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7"/>
    </row>
    <row r="2" spans="1:56" ht="27.75" customHeight="1" x14ac:dyDescent="0.25">
      <c r="A2" s="272" t="s">
        <v>1</v>
      </c>
      <c r="B2" s="272" t="s">
        <v>0</v>
      </c>
      <c r="C2" s="270" t="s">
        <v>28</v>
      </c>
      <c r="D2" s="64"/>
      <c r="E2" s="71" t="s">
        <v>25</v>
      </c>
      <c r="F2" s="72"/>
      <c r="G2" s="274" t="s">
        <v>26</v>
      </c>
      <c r="H2" s="72"/>
      <c r="I2" s="72"/>
      <c r="J2" s="72"/>
      <c r="K2" s="72"/>
      <c r="L2" s="72"/>
      <c r="M2" s="72"/>
      <c r="N2" s="72"/>
      <c r="O2" s="73"/>
      <c r="P2" s="68" t="s">
        <v>83</v>
      </c>
      <c r="Q2" s="69"/>
      <c r="R2" s="69"/>
      <c r="S2" s="69"/>
      <c r="T2" s="69"/>
      <c r="U2" s="69"/>
      <c r="V2" s="69"/>
      <c r="W2" s="69"/>
      <c r="X2" s="69"/>
      <c r="Y2" s="69"/>
      <c r="Z2" s="69"/>
      <c r="AA2" s="69"/>
      <c r="AB2" s="69"/>
      <c r="AC2" s="69"/>
      <c r="AD2" s="69"/>
      <c r="AE2" s="70"/>
    </row>
    <row r="3" spans="1:56" s="152" customFormat="1" ht="22.5" customHeight="1" x14ac:dyDescent="0.25">
      <c r="A3" s="273"/>
      <c r="B3" s="273"/>
      <c r="C3" s="271"/>
      <c r="D3" s="146"/>
      <c r="E3" s="147" t="s">
        <v>27</v>
      </c>
      <c r="F3" s="148"/>
      <c r="G3" s="274"/>
      <c r="H3" s="149"/>
      <c r="I3" s="150" t="s">
        <v>62</v>
      </c>
      <c r="J3" s="147" t="s">
        <v>7</v>
      </c>
      <c r="K3" s="147"/>
      <c r="L3" s="147"/>
      <c r="M3" s="147"/>
      <c r="N3" s="147"/>
      <c r="O3" s="147"/>
      <c r="P3" s="151"/>
      <c r="Q3" s="147" t="s">
        <v>20</v>
      </c>
      <c r="R3" s="147"/>
      <c r="S3" s="147"/>
      <c r="T3" s="147"/>
      <c r="U3" s="147"/>
      <c r="V3" s="147"/>
      <c r="W3" s="147"/>
      <c r="X3" s="147" t="s">
        <v>23</v>
      </c>
      <c r="Y3" s="147"/>
      <c r="Z3" s="147"/>
      <c r="AA3" s="147"/>
      <c r="AB3" s="147"/>
      <c r="AC3" s="147"/>
      <c r="AD3" s="147" t="s">
        <v>21</v>
      </c>
      <c r="AE3" s="146" t="s">
        <v>22</v>
      </c>
      <c r="AF3" s="154"/>
      <c r="AG3" s="154"/>
      <c r="AH3" s="154"/>
      <c r="AI3" s="154"/>
      <c r="AJ3" s="154"/>
      <c r="AK3" s="154"/>
      <c r="AL3" s="154"/>
      <c r="AM3" s="154"/>
      <c r="AN3" s="154"/>
      <c r="AO3" s="154"/>
      <c r="AP3" s="154"/>
      <c r="AQ3" s="154"/>
      <c r="AR3" s="154"/>
      <c r="AS3" s="154"/>
      <c r="AT3" s="154"/>
      <c r="AU3" s="154"/>
      <c r="AV3" s="154"/>
      <c r="AW3" s="154"/>
      <c r="AX3" s="154"/>
      <c r="AY3" s="154"/>
      <c r="AZ3" s="154"/>
      <c r="BA3" s="154"/>
      <c r="BB3" s="154"/>
      <c r="BC3" s="154"/>
      <c r="BD3" s="154"/>
    </row>
    <row r="4" spans="1:56" s="11" customFormat="1" ht="15" x14ac:dyDescent="0.25">
      <c r="A4" s="65"/>
      <c r="B4" s="65"/>
      <c r="C4" s="66"/>
      <c r="D4" s="66"/>
      <c r="E4" s="65"/>
      <c r="F4" s="65"/>
      <c r="G4" s="66"/>
      <c r="H4" s="66"/>
      <c r="I4" s="67"/>
      <c r="J4" s="65" t="s">
        <v>8</v>
      </c>
      <c r="K4" s="65" t="s">
        <v>9</v>
      </c>
      <c r="L4" s="65" t="s">
        <v>10</v>
      </c>
      <c r="M4" s="65" t="s">
        <v>429</v>
      </c>
      <c r="N4" s="65" t="s">
        <v>11</v>
      </c>
      <c r="O4" s="65" t="s">
        <v>12</v>
      </c>
      <c r="P4" s="77"/>
      <c r="Q4" s="65" t="s">
        <v>8</v>
      </c>
      <c r="R4" s="65" t="s">
        <v>9</v>
      </c>
      <c r="S4" s="65" t="s">
        <v>10</v>
      </c>
      <c r="T4" s="65" t="s">
        <v>429</v>
      </c>
      <c r="U4" s="65" t="s">
        <v>11</v>
      </c>
      <c r="V4" s="74" t="s">
        <v>12</v>
      </c>
      <c r="W4" s="65"/>
      <c r="X4" s="65"/>
      <c r="Y4" s="65"/>
      <c r="Z4" s="65"/>
      <c r="AA4" s="65"/>
      <c r="AB4" s="65"/>
      <c r="AC4" s="65"/>
      <c r="AD4" s="65"/>
      <c r="AE4" s="66"/>
      <c r="AF4" s="154"/>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row>
    <row r="5" spans="1:56" s="90" customFormat="1" ht="236.25" customHeight="1" x14ac:dyDescent="0.25">
      <c r="A5" s="296">
        <v>1</v>
      </c>
      <c r="B5" s="290" t="s">
        <v>19</v>
      </c>
      <c r="C5" s="86"/>
      <c r="D5" s="87" t="s">
        <v>2</v>
      </c>
      <c r="E5" s="88"/>
      <c r="F5" s="87" t="s">
        <v>114</v>
      </c>
      <c r="G5" s="88">
        <v>1</v>
      </c>
      <c r="H5" s="87" t="s">
        <v>115</v>
      </c>
      <c r="I5" s="89" t="s">
        <v>322</v>
      </c>
      <c r="J5" s="75"/>
      <c r="K5" s="75"/>
      <c r="L5" s="75"/>
      <c r="M5" s="75"/>
      <c r="N5" s="75"/>
      <c r="O5" s="75">
        <v>1</v>
      </c>
      <c r="P5" s="142"/>
      <c r="Q5" s="75">
        <v>0</v>
      </c>
      <c r="R5" s="75">
        <f>3*0.1</f>
        <v>0.30000000000000004</v>
      </c>
      <c r="S5" s="75">
        <f>3*0.2</f>
        <v>0.60000000000000009</v>
      </c>
      <c r="T5" s="75">
        <f>3*0.3</f>
        <v>0.89999999999999991</v>
      </c>
      <c r="U5" s="75">
        <f>3*0.6</f>
        <v>1.7999999999999998</v>
      </c>
      <c r="V5" s="75">
        <f>3*1</f>
        <v>3</v>
      </c>
      <c r="W5" s="140"/>
      <c r="X5" s="75">
        <f t="shared" ref="X5" si="0">J5*Q5</f>
        <v>0</v>
      </c>
      <c r="Y5" s="75">
        <f t="shared" ref="Y5" si="1">K5*R5</f>
        <v>0</v>
      </c>
      <c r="Z5" s="75">
        <f t="shared" ref="Z5" si="2">L5*S5</f>
        <v>0</v>
      </c>
      <c r="AA5" s="75">
        <f t="shared" ref="AA5" si="3">M5*T5</f>
        <v>0</v>
      </c>
      <c r="AB5" s="75">
        <f t="shared" ref="AB5" si="4">N5*U5</f>
        <v>0</v>
      </c>
      <c r="AC5" s="75">
        <f t="shared" ref="AC5" si="5">O5*V5</f>
        <v>3</v>
      </c>
      <c r="AD5" s="75">
        <f>X5+Y5+Z5+AA5+AB5+AC5</f>
        <v>3</v>
      </c>
      <c r="AE5" s="299">
        <f>+SUM(AD5:AD42)</f>
        <v>100</v>
      </c>
      <c r="AF5" s="155"/>
      <c r="AG5" s="155"/>
      <c r="AH5" s="155"/>
      <c r="AI5" s="155"/>
      <c r="AJ5" s="155"/>
      <c r="AK5" s="155"/>
      <c r="AL5" s="155"/>
      <c r="AM5" s="155"/>
      <c r="AN5" s="155"/>
      <c r="AO5" s="155"/>
      <c r="AP5" s="155"/>
      <c r="AQ5" s="155"/>
      <c r="AR5" s="155"/>
      <c r="AS5" s="155"/>
      <c r="AT5" s="155"/>
      <c r="AU5" s="155"/>
      <c r="AV5" s="155"/>
      <c r="AW5" s="155"/>
      <c r="AX5" s="155"/>
      <c r="AY5" s="155"/>
      <c r="AZ5" s="155"/>
      <c r="BA5" s="155"/>
      <c r="BB5" s="155"/>
      <c r="BC5" s="155"/>
      <c r="BD5" s="155"/>
    </row>
    <row r="6" spans="1:56" s="90" customFormat="1" ht="110.25" customHeight="1" x14ac:dyDescent="0.25">
      <c r="A6" s="297"/>
      <c r="B6" s="291"/>
      <c r="C6" s="88"/>
      <c r="D6" s="91" t="s">
        <v>116</v>
      </c>
      <c r="E6" s="88"/>
      <c r="F6" s="91" t="s">
        <v>117</v>
      </c>
      <c r="G6" s="88">
        <v>2</v>
      </c>
      <c r="H6" s="87" t="s">
        <v>118</v>
      </c>
      <c r="I6" s="89" t="s">
        <v>323</v>
      </c>
      <c r="J6" s="75"/>
      <c r="K6" s="75"/>
      <c r="L6" s="75"/>
      <c r="M6" s="75"/>
      <c r="N6" s="75"/>
      <c r="O6" s="75">
        <v>1</v>
      </c>
      <c r="P6" s="143"/>
      <c r="Q6" s="75">
        <v>0</v>
      </c>
      <c r="R6" s="75">
        <f>3*0.1</f>
        <v>0.30000000000000004</v>
      </c>
      <c r="S6" s="75">
        <f>3*0.2</f>
        <v>0.60000000000000009</v>
      </c>
      <c r="T6" s="75">
        <f>3*0.3</f>
        <v>0.89999999999999991</v>
      </c>
      <c r="U6" s="75">
        <f>3*0.6</f>
        <v>1.7999999999999998</v>
      </c>
      <c r="V6" s="75">
        <f>3*1</f>
        <v>3</v>
      </c>
      <c r="W6" s="140"/>
      <c r="X6" s="75">
        <f t="shared" ref="X6:X69" si="6">J6*Q6</f>
        <v>0</v>
      </c>
      <c r="Y6" s="75">
        <f t="shared" ref="Y6:Y69" si="7">K6*R6</f>
        <v>0</v>
      </c>
      <c r="Z6" s="75">
        <f t="shared" ref="Z6:Z69" si="8">L6*S6</f>
        <v>0</v>
      </c>
      <c r="AA6" s="75">
        <f t="shared" ref="AA6:AA69" si="9">M6*T6</f>
        <v>0</v>
      </c>
      <c r="AB6" s="75">
        <f t="shared" ref="AB6:AB69" si="10">N6*U6</f>
        <v>0</v>
      </c>
      <c r="AC6" s="75">
        <f t="shared" ref="AC6:AC69" si="11">O6*V6</f>
        <v>3</v>
      </c>
      <c r="AD6" s="75">
        <f t="shared" ref="AD6:AD69" si="12">X6+Y6+Z6+AA6+AB6+AC6</f>
        <v>3</v>
      </c>
      <c r="AE6" s="300"/>
      <c r="AF6" s="155"/>
      <c r="AG6" s="155"/>
      <c r="AH6" s="155"/>
      <c r="AI6" s="155"/>
      <c r="AJ6" s="155"/>
      <c r="AK6" s="155"/>
      <c r="AL6" s="155"/>
      <c r="AM6" s="155"/>
      <c r="AN6" s="155"/>
      <c r="AO6" s="155"/>
      <c r="AP6" s="155"/>
      <c r="AQ6" s="155"/>
      <c r="AR6" s="155"/>
      <c r="AS6" s="155"/>
      <c r="AT6" s="155"/>
      <c r="AU6" s="155"/>
      <c r="AV6" s="155"/>
      <c r="AW6" s="155"/>
      <c r="AX6" s="155"/>
      <c r="AY6" s="155"/>
      <c r="AZ6" s="155"/>
      <c r="BA6" s="155"/>
      <c r="BB6" s="155"/>
      <c r="BC6" s="155"/>
      <c r="BD6" s="155"/>
    </row>
    <row r="7" spans="1:56" s="90" customFormat="1" ht="114.75" customHeight="1" x14ac:dyDescent="0.25">
      <c r="A7" s="297"/>
      <c r="B7" s="291"/>
      <c r="C7" s="88"/>
      <c r="D7" s="92"/>
      <c r="E7" s="88"/>
      <c r="F7" s="92"/>
      <c r="G7" s="88">
        <v>3</v>
      </c>
      <c r="H7" s="87" t="s">
        <v>119</v>
      </c>
      <c r="I7" s="89"/>
      <c r="J7" s="75"/>
      <c r="K7" s="75"/>
      <c r="L7" s="75"/>
      <c r="M7" s="75"/>
      <c r="N7" s="75"/>
      <c r="O7" s="75">
        <v>1</v>
      </c>
      <c r="P7" s="142"/>
      <c r="Q7" s="75">
        <v>0</v>
      </c>
      <c r="R7" s="75">
        <f>3*0.1</f>
        <v>0.30000000000000004</v>
      </c>
      <c r="S7" s="75">
        <f>3*0.2</f>
        <v>0.60000000000000009</v>
      </c>
      <c r="T7" s="75">
        <f>3*0.3</f>
        <v>0.89999999999999991</v>
      </c>
      <c r="U7" s="75">
        <f>3*0.6</f>
        <v>1.7999999999999998</v>
      </c>
      <c r="V7" s="75">
        <f>3*1</f>
        <v>3</v>
      </c>
      <c r="W7" s="140"/>
      <c r="X7" s="75">
        <f t="shared" si="6"/>
        <v>0</v>
      </c>
      <c r="Y7" s="75">
        <f t="shared" si="7"/>
        <v>0</v>
      </c>
      <c r="Z7" s="75">
        <f t="shared" si="8"/>
        <v>0</v>
      </c>
      <c r="AA7" s="75">
        <f t="shared" si="9"/>
        <v>0</v>
      </c>
      <c r="AB7" s="75">
        <f t="shared" si="10"/>
        <v>0</v>
      </c>
      <c r="AC7" s="75">
        <f t="shared" si="11"/>
        <v>3</v>
      </c>
      <c r="AD7" s="75">
        <f t="shared" si="12"/>
        <v>3</v>
      </c>
      <c r="AE7" s="300"/>
      <c r="AF7" s="155"/>
      <c r="AG7" s="155"/>
      <c r="AH7" s="155"/>
      <c r="AI7" s="155"/>
      <c r="AJ7" s="155"/>
      <c r="AK7" s="155"/>
      <c r="AL7" s="155"/>
      <c r="AM7" s="155"/>
      <c r="AN7" s="155"/>
      <c r="AO7" s="155"/>
      <c r="AP7" s="155"/>
      <c r="AQ7" s="155"/>
      <c r="AR7" s="155"/>
      <c r="AS7" s="155"/>
      <c r="AT7" s="155"/>
      <c r="AU7" s="155"/>
      <c r="AV7" s="155"/>
      <c r="AW7" s="155"/>
      <c r="AX7" s="155"/>
      <c r="AY7" s="155"/>
      <c r="AZ7" s="155"/>
      <c r="BA7" s="155"/>
      <c r="BB7" s="155"/>
      <c r="BC7" s="155"/>
      <c r="BD7" s="155"/>
    </row>
    <row r="8" spans="1:56" s="90" customFormat="1" ht="57.75" customHeight="1" x14ac:dyDescent="0.25">
      <c r="A8" s="297"/>
      <c r="B8" s="291"/>
      <c r="C8" s="93"/>
      <c r="D8" s="91" t="s">
        <v>3</v>
      </c>
      <c r="E8" s="93"/>
      <c r="F8" s="91" t="s">
        <v>120</v>
      </c>
      <c r="G8" s="88">
        <v>4</v>
      </c>
      <c r="H8" s="87" t="s">
        <v>121</v>
      </c>
      <c r="I8" s="89" t="s">
        <v>282</v>
      </c>
      <c r="J8" s="75"/>
      <c r="K8" s="75"/>
      <c r="L8" s="75"/>
      <c r="M8" s="75"/>
      <c r="N8" s="75"/>
      <c r="O8" s="75">
        <v>1</v>
      </c>
      <c r="P8" s="143"/>
      <c r="Q8" s="75">
        <v>0</v>
      </c>
      <c r="R8" s="75">
        <f>3*0.1</f>
        <v>0.30000000000000004</v>
      </c>
      <c r="S8" s="75">
        <f>3*0.2</f>
        <v>0.60000000000000009</v>
      </c>
      <c r="T8" s="75">
        <f>3*0.3</f>
        <v>0.89999999999999991</v>
      </c>
      <c r="U8" s="75">
        <f>3*0.6</f>
        <v>1.7999999999999998</v>
      </c>
      <c r="V8" s="75">
        <f>3*1</f>
        <v>3</v>
      </c>
      <c r="W8" s="140"/>
      <c r="X8" s="75">
        <f t="shared" si="6"/>
        <v>0</v>
      </c>
      <c r="Y8" s="75">
        <f t="shared" si="7"/>
        <v>0</v>
      </c>
      <c r="Z8" s="75">
        <f t="shared" si="8"/>
        <v>0</v>
      </c>
      <c r="AA8" s="75">
        <f t="shared" si="9"/>
        <v>0</v>
      </c>
      <c r="AB8" s="75">
        <f t="shared" si="10"/>
        <v>0</v>
      </c>
      <c r="AC8" s="75">
        <f t="shared" si="11"/>
        <v>3</v>
      </c>
      <c r="AD8" s="75">
        <f t="shared" si="12"/>
        <v>3</v>
      </c>
      <c r="AE8" s="300"/>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row>
    <row r="9" spans="1:56" s="90" customFormat="1" ht="62.25" customHeight="1" x14ac:dyDescent="0.25">
      <c r="A9" s="297"/>
      <c r="B9" s="291"/>
      <c r="C9" s="94"/>
      <c r="D9" s="95"/>
      <c r="E9" s="94"/>
      <c r="F9" s="95"/>
      <c r="G9" s="88">
        <v>5</v>
      </c>
      <c r="H9" s="87" t="s">
        <v>122</v>
      </c>
      <c r="I9" s="89"/>
      <c r="J9" s="75"/>
      <c r="K9" s="75"/>
      <c r="L9" s="75"/>
      <c r="M9" s="75"/>
      <c r="N9" s="75"/>
      <c r="O9" s="75">
        <v>1</v>
      </c>
      <c r="P9" s="142"/>
      <c r="Q9" s="75">
        <v>0</v>
      </c>
      <c r="R9" s="75">
        <f>3*0.1</f>
        <v>0.30000000000000004</v>
      </c>
      <c r="S9" s="75">
        <f>3*0.2</f>
        <v>0.60000000000000009</v>
      </c>
      <c r="T9" s="75">
        <f>3*0.3</f>
        <v>0.89999999999999991</v>
      </c>
      <c r="U9" s="75">
        <f>3*0.6</f>
        <v>1.7999999999999998</v>
      </c>
      <c r="V9" s="75">
        <f>3*1</f>
        <v>3</v>
      </c>
      <c r="W9" s="140"/>
      <c r="X9" s="75">
        <f t="shared" si="6"/>
        <v>0</v>
      </c>
      <c r="Y9" s="75">
        <f t="shared" si="7"/>
        <v>0</v>
      </c>
      <c r="Z9" s="75">
        <f t="shared" si="8"/>
        <v>0</v>
      </c>
      <c r="AA9" s="75">
        <f t="shared" si="9"/>
        <v>0</v>
      </c>
      <c r="AB9" s="75">
        <f t="shared" si="10"/>
        <v>0</v>
      </c>
      <c r="AC9" s="75">
        <f t="shared" si="11"/>
        <v>3</v>
      </c>
      <c r="AD9" s="75">
        <f t="shared" si="12"/>
        <v>3</v>
      </c>
      <c r="AE9" s="300"/>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row>
    <row r="10" spans="1:56" s="90" customFormat="1" ht="54" customHeight="1" x14ac:dyDescent="0.25">
      <c r="A10" s="297"/>
      <c r="B10" s="291"/>
      <c r="C10" s="94"/>
      <c r="D10" s="95"/>
      <c r="E10" s="94"/>
      <c r="F10" s="95"/>
      <c r="G10" s="88">
        <v>6</v>
      </c>
      <c r="H10" s="87" t="s">
        <v>123</v>
      </c>
      <c r="I10" s="89"/>
      <c r="J10" s="75"/>
      <c r="K10" s="75"/>
      <c r="L10" s="75"/>
      <c r="M10" s="75"/>
      <c r="N10" s="75"/>
      <c r="O10" s="75">
        <v>1</v>
      </c>
      <c r="P10" s="143"/>
      <c r="Q10" s="75">
        <v>0</v>
      </c>
      <c r="R10" s="75">
        <f>3*0.1</f>
        <v>0.30000000000000004</v>
      </c>
      <c r="S10" s="75">
        <f>3*0.2</f>
        <v>0.60000000000000009</v>
      </c>
      <c r="T10" s="75">
        <f>3*0.3</f>
        <v>0.89999999999999991</v>
      </c>
      <c r="U10" s="75">
        <f>3*0.6</f>
        <v>1.7999999999999998</v>
      </c>
      <c r="V10" s="75">
        <f>3*1</f>
        <v>3</v>
      </c>
      <c r="W10" s="140"/>
      <c r="X10" s="75">
        <f t="shared" si="6"/>
        <v>0</v>
      </c>
      <c r="Y10" s="75">
        <f t="shared" si="7"/>
        <v>0</v>
      </c>
      <c r="Z10" s="75">
        <f t="shared" si="8"/>
        <v>0</v>
      </c>
      <c r="AA10" s="75">
        <f t="shared" si="9"/>
        <v>0</v>
      </c>
      <c r="AB10" s="75">
        <f t="shared" si="10"/>
        <v>0</v>
      </c>
      <c r="AC10" s="75">
        <f t="shared" si="11"/>
        <v>3</v>
      </c>
      <c r="AD10" s="75">
        <f t="shared" si="12"/>
        <v>3</v>
      </c>
      <c r="AE10" s="300"/>
      <c r="AF10" s="155"/>
      <c r="AG10" s="155"/>
      <c r="AH10" s="155"/>
      <c r="AI10" s="155"/>
      <c r="AJ10" s="155"/>
      <c r="AK10" s="155"/>
      <c r="AL10" s="155"/>
      <c r="AM10" s="155"/>
      <c r="AN10" s="155"/>
      <c r="AO10" s="155"/>
      <c r="AP10" s="155"/>
      <c r="AQ10" s="155"/>
      <c r="AR10" s="155"/>
      <c r="AS10" s="155"/>
      <c r="AT10" s="155"/>
      <c r="AU10" s="155"/>
      <c r="AV10" s="155"/>
      <c r="AW10" s="155"/>
      <c r="AX10" s="155"/>
      <c r="AY10" s="155"/>
      <c r="AZ10" s="155"/>
      <c r="BA10" s="155"/>
      <c r="BB10" s="155"/>
      <c r="BC10" s="155"/>
      <c r="BD10" s="155"/>
    </row>
    <row r="11" spans="1:56" s="90" customFormat="1" ht="64.5" customHeight="1" x14ac:dyDescent="0.25">
      <c r="A11" s="297"/>
      <c r="B11" s="291"/>
      <c r="C11" s="94"/>
      <c r="D11" s="95"/>
      <c r="E11" s="94"/>
      <c r="F11" s="95"/>
      <c r="G11" s="88">
        <v>7</v>
      </c>
      <c r="H11" s="87" t="s">
        <v>124</v>
      </c>
      <c r="I11" s="89"/>
      <c r="J11" s="75"/>
      <c r="K11" s="75"/>
      <c r="L11" s="75"/>
      <c r="M11" s="75"/>
      <c r="N11" s="75"/>
      <c r="O11" s="75">
        <v>1</v>
      </c>
      <c r="P11" s="142"/>
      <c r="Q11" s="75">
        <v>0</v>
      </c>
      <c r="R11" s="75">
        <f>3*0.1</f>
        <v>0.30000000000000004</v>
      </c>
      <c r="S11" s="75">
        <f>3*0.2</f>
        <v>0.60000000000000009</v>
      </c>
      <c r="T11" s="75">
        <f>3*0.3</f>
        <v>0.89999999999999991</v>
      </c>
      <c r="U11" s="75">
        <f>3*0.6</f>
        <v>1.7999999999999998</v>
      </c>
      <c r="V11" s="75">
        <f>3*1</f>
        <v>3</v>
      </c>
      <c r="W11" s="140"/>
      <c r="X11" s="75">
        <f t="shared" si="6"/>
        <v>0</v>
      </c>
      <c r="Y11" s="75">
        <f t="shared" si="7"/>
        <v>0</v>
      </c>
      <c r="Z11" s="75">
        <f t="shared" si="8"/>
        <v>0</v>
      </c>
      <c r="AA11" s="75">
        <f t="shared" si="9"/>
        <v>0</v>
      </c>
      <c r="AB11" s="75">
        <f t="shared" si="10"/>
        <v>0</v>
      </c>
      <c r="AC11" s="75">
        <f t="shared" si="11"/>
        <v>3</v>
      </c>
      <c r="AD11" s="75">
        <f t="shared" si="12"/>
        <v>3</v>
      </c>
      <c r="AE11" s="300"/>
      <c r="AF11" s="155"/>
      <c r="AG11" s="155"/>
      <c r="AH11" s="155"/>
      <c r="AI11" s="155"/>
      <c r="AJ11" s="155"/>
      <c r="AK11" s="155"/>
      <c r="AL11" s="155"/>
      <c r="AM11" s="155"/>
      <c r="AN11" s="155"/>
      <c r="AO11" s="155"/>
      <c r="AP11" s="155"/>
      <c r="AQ11" s="155"/>
      <c r="AR11" s="155"/>
      <c r="AS11" s="155"/>
      <c r="AT11" s="155"/>
      <c r="AU11" s="155"/>
      <c r="AV11" s="155"/>
      <c r="AW11" s="155"/>
      <c r="AX11" s="155"/>
      <c r="AY11" s="155"/>
      <c r="AZ11" s="155"/>
      <c r="BA11" s="155"/>
      <c r="BB11" s="155"/>
      <c r="BC11" s="155"/>
      <c r="BD11" s="155"/>
    </row>
    <row r="12" spans="1:56" s="90" customFormat="1" ht="61.5" customHeight="1" x14ac:dyDescent="0.25">
      <c r="A12" s="297"/>
      <c r="B12" s="291"/>
      <c r="C12" s="94"/>
      <c r="D12" s="95"/>
      <c r="E12" s="94"/>
      <c r="F12" s="95"/>
      <c r="G12" s="88">
        <v>8</v>
      </c>
      <c r="H12" s="87" t="s">
        <v>125</v>
      </c>
      <c r="I12" s="89"/>
      <c r="J12" s="75"/>
      <c r="K12" s="75"/>
      <c r="L12" s="75"/>
      <c r="M12" s="75"/>
      <c r="N12" s="75"/>
      <c r="O12" s="75">
        <v>1</v>
      </c>
      <c r="P12" s="143"/>
      <c r="Q12" s="75">
        <v>0</v>
      </c>
      <c r="R12" s="75">
        <f>3*0.1</f>
        <v>0.30000000000000004</v>
      </c>
      <c r="S12" s="75">
        <f>3*0.2</f>
        <v>0.60000000000000009</v>
      </c>
      <c r="T12" s="75">
        <f>3*0.3</f>
        <v>0.89999999999999991</v>
      </c>
      <c r="U12" s="75">
        <f>3*0.6</f>
        <v>1.7999999999999998</v>
      </c>
      <c r="V12" s="75">
        <f>3*1</f>
        <v>3</v>
      </c>
      <c r="W12" s="140"/>
      <c r="X12" s="75">
        <f t="shared" si="6"/>
        <v>0</v>
      </c>
      <c r="Y12" s="75">
        <f t="shared" si="7"/>
        <v>0</v>
      </c>
      <c r="Z12" s="75">
        <f t="shared" si="8"/>
        <v>0</v>
      </c>
      <c r="AA12" s="75">
        <f t="shared" si="9"/>
        <v>0</v>
      </c>
      <c r="AB12" s="75">
        <f t="shared" si="10"/>
        <v>0</v>
      </c>
      <c r="AC12" s="75">
        <f t="shared" si="11"/>
        <v>3</v>
      </c>
      <c r="AD12" s="75">
        <f t="shared" si="12"/>
        <v>3</v>
      </c>
      <c r="AE12" s="300"/>
      <c r="AF12" s="155"/>
      <c r="AG12" s="155"/>
      <c r="AH12" s="155"/>
      <c r="AI12" s="155"/>
      <c r="AJ12" s="155"/>
      <c r="AK12" s="155"/>
      <c r="AL12" s="155"/>
      <c r="AM12" s="155"/>
      <c r="AN12" s="155"/>
      <c r="AO12" s="155"/>
      <c r="AP12" s="155"/>
      <c r="AQ12" s="155"/>
      <c r="AR12" s="155"/>
      <c r="AS12" s="155"/>
      <c r="AT12" s="155"/>
      <c r="AU12" s="155"/>
      <c r="AV12" s="155"/>
      <c r="AW12" s="155"/>
      <c r="AX12" s="155"/>
      <c r="AY12" s="155"/>
      <c r="AZ12" s="155"/>
      <c r="BA12" s="155"/>
      <c r="BB12" s="155"/>
      <c r="BC12" s="155"/>
      <c r="BD12" s="155"/>
    </row>
    <row r="13" spans="1:56" s="90" customFormat="1" ht="35.25" customHeight="1" x14ac:dyDescent="0.25">
      <c r="A13" s="297"/>
      <c r="B13" s="291"/>
      <c r="C13" s="94"/>
      <c r="D13" s="95"/>
      <c r="E13" s="94"/>
      <c r="F13" s="95"/>
      <c r="G13" s="88">
        <v>9</v>
      </c>
      <c r="H13" s="87" t="s">
        <v>126</v>
      </c>
      <c r="I13" s="89"/>
      <c r="J13" s="75"/>
      <c r="K13" s="75"/>
      <c r="L13" s="75"/>
      <c r="M13" s="75"/>
      <c r="N13" s="75"/>
      <c r="O13" s="75">
        <v>1</v>
      </c>
      <c r="P13" s="142"/>
      <c r="Q13" s="75">
        <v>0</v>
      </c>
      <c r="R13" s="75">
        <f>3*0.1</f>
        <v>0.30000000000000004</v>
      </c>
      <c r="S13" s="75">
        <f>3*0.2</f>
        <v>0.60000000000000009</v>
      </c>
      <c r="T13" s="75">
        <f>3*0.3</f>
        <v>0.89999999999999991</v>
      </c>
      <c r="U13" s="75">
        <f>3*0.6</f>
        <v>1.7999999999999998</v>
      </c>
      <c r="V13" s="75">
        <f>3*1</f>
        <v>3</v>
      </c>
      <c r="W13" s="140"/>
      <c r="X13" s="75">
        <f t="shared" si="6"/>
        <v>0</v>
      </c>
      <c r="Y13" s="75">
        <f t="shared" si="7"/>
        <v>0</v>
      </c>
      <c r="Z13" s="75">
        <f t="shared" si="8"/>
        <v>0</v>
      </c>
      <c r="AA13" s="75">
        <f t="shared" si="9"/>
        <v>0</v>
      </c>
      <c r="AB13" s="75">
        <f t="shared" si="10"/>
        <v>0</v>
      </c>
      <c r="AC13" s="75">
        <f t="shared" si="11"/>
        <v>3</v>
      </c>
      <c r="AD13" s="75">
        <f t="shared" si="12"/>
        <v>3</v>
      </c>
      <c r="AE13" s="300"/>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row>
    <row r="14" spans="1:56" s="90" customFormat="1" ht="45.75" customHeight="1" x14ac:dyDescent="0.25">
      <c r="A14" s="297"/>
      <c r="B14" s="291"/>
      <c r="C14" s="94"/>
      <c r="D14" s="95"/>
      <c r="E14" s="94"/>
      <c r="F14" s="95"/>
      <c r="G14" s="88">
        <v>10</v>
      </c>
      <c r="H14" s="87" t="s">
        <v>127</v>
      </c>
      <c r="I14" s="89"/>
      <c r="J14" s="75"/>
      <c r="K14" s="75"/>
      <c r="L14" s="75"/>
      <c r="M14" s="75"/>
      <c r="N14" s="75"/>
      <c r="O14" s="75">
        <v>1</v>
      </c>
      <c r="P14" s="143"/>
      <c r="Q14" s="75">
        <v>0</v>
      </c>
      <c r="R14" s="75">
        <f>3*0.1</f>
        <v>0.30000000000000004</v>
      </c>
      <c r="S14" s="75">
        <f>3*0.2</f>
        <v>0.60000000000000009</v>
      </c>
      <c r="T14" s="75">
        <f>3*0.3</f>
        <v>0.89999999999999991</v>
      </c>
      <c r="U14" s="75">
        <f>3*0.6</f>
        <v>1.7999999999999998</v>
      </c>
      <c r="V14" s="75">
        <f>3*1</f>
        <v>3</v>
      </c>
      <c r="W14" s="140"/>
      <c r="X14" s="75">
        <f t="shared" si="6"/>
        <v>0</v>
      </c>
      <c r="Y14" s="75">
        <f t="shared" si="7"/>
        <v>0</v>
      </c>
      <c r="Z14" s="75">
        <f t="shared" si="8"/>
        <v>0</v>
      </c>
      <c r="AA14" s="75">
        <f t="shared" si="9"/>
        <v>0</v>
      </c>
      <c r="AB14" s="75">
        <f t="shared" si="10"/>
        <v>0</v>
      </c>
      <c r="AC14" s="75">
        <f t="shared" si="11"/>
        <v>3</v>
      </c>
      <c r="AD14" s="75">
        <f t="shared" si="12"/>
        <v>3</v>
      </c>
      <c r="AE14" s="300"/>
      <c r="AF14" s="155"/>
      <c r="AG14" s="155"/>
      <c r="AH14" s="155"/>
      <c r="AI14" s="155"/>
      <c r="AJ14" s="155"/>
      <c r="AK14" s="155"/>
      <c r="AL14" s="155"/>
      <c r="AM14" s="155"/>
      <c r="AN14" s="155"/>
      <c r="AO14" s="155"/>
      <c r="AP14" s="155"/>
      <c r="AQ14" s="155"/>
      <c r="AR14" s="155"/>
      <c r="AS14" s="155"/>
      <c r="AT14" s="155"/>
      <c r="AU14" s="155"/>
      <c r="AV14" s="155"/>
      <c r="AW14" s="155"/>
      <c r="AX14" s="155"/>
      <c r="AY14" s="155"/>
      <c r="AZ14" s="155"/>
      <c r="BA14" s="155"/>
      <c r="BB14" s="155"/>
      <c r="BC14" s="155"/>
      <c r="BD14" s="155"/>
    </row>
    <row r="15" spans="1:56" s="90" customFormat="1" ht="53.25" customHeight="1" x14ac:dyDescent="0.25">
      <c r="A15" s="297"/>
      <c r="B15" s="291"/>
      <c r="C15" s="94"/>
      <c r="D15" s="95"/>
      <c r="E15" s="94"/>
      <c r="F15" s="95"/>
      <c r="G15" s="88">
        <v>11</v>
      </c>
      <c r="H15" s="87" t="s">
        <v>128</v>
      </c>
      <c r="I15" s="89"/>
      <c r="J15" s="75"/>
      <c r="K15" s="75"/>
      <c r="L15" s="75"/>
      <c r="M15" s="75"/>
      <c r="N15" s="75"/>
      <c r="O15" s="75">
        <v>1</v>
      </c>
      <c r="P15" s="142"/>
      <c r="Q15" s="75">
        <v>0</v>
      </c>
      <c r="R15" s="75">
        <f t="shared" ref="R6:R42" si="13">2.5*0.1</f>
        <v>0.25</v>
      </c>
      <c r="S15" s="75">
        <f t="shared" ref="S6:S42" si="14">2.5*0.2</f>
        <v>0.5</v>
      </c>
      <c r="T15" s="75">
        <f t="shared" ref="T6:T42" si="15">2.5*0.3</f>
        <v>0.75</v>
      </c>
      <c r="U15" s="75">
        <f t="shared" ref="U6:U42" si="16">2.5*0.6</f>
        <v>1.5</v>
      </c>
      <c r="V15" s="75">
        <f t="shared" ref="V6:V42" si="17">2.5*1</f>
        <v>2.5</v>
      </c>
      <c r="W15" s="140"/>
      <c r="X15" s="75">
        <f t="shared" si="6"/>
        <v>0</v>
      </c>
      <c r="Y15" s="75">
        <f t="shared" si="7"/>
        <v>0</v>
      </c>
      <c r="Z15" s="75">
        <f t="shared" si="8"/>
        <v>0</v>
      </c>
      <c r="AA15" s="75">
        <f t="shared" si="9"/>
        <v>0</v>
      </c>
      <c r="AB15" s="75">
        <f t="shared" si="10"/>
        <v>0</v>
      </c>
      <c r="AC15" s="75">
        <f t="shared" si="11"/>
        <v>2.5</v>
      </c>
      <c r="AD15" s="75">
        <f t="shared" si="12"/>
        <v>2.5</v>
      </c>
      <c r="AE15" s="300"/>
      <c r="AF15" s="155"/>
      <c r="AG15" s="155"/>
      <c r="AH15" s="155"/>
      <c r="AI15" s="155"/>
      <c r="AJ15" s="155"/>
      <c r="AK15" s="155"/>
      <c r="AL15" s="155"/>
      <c r="AM15" s="155"/>
      <c r="AN15" s="155"/>
      <c r="AO15" s="155"/>
      <c r="AP15" s="155"/>
      <c r="AQ15" s="155"/>
      <c r="AR15" s="155"/>
      <c r="AS15" s="155"/>
      <c r="AT15" s="155"/>
      <c r="AU15" s="155"/>
      <c r="AV15" s="155"/>
      <c r="AW15" s="155"/>
      <c r="AX15" s="155"/>
      <c r="AY15" s="155"/>
      <c r="AZ15" s="155"/>
      <c r="BA15" s="155"/>
      <c r="BB15" s="155"/>
      <c r="BC15" s="155"/>
      <c r="BD15" s="155"/>
    </row>
    <row r="16" spans="1:56" s="90" customFormat="1" ht="50.25" customHeight="1" x14ac:dyDescent="0.25">
      <c r="A16" s="297"/>
      <c r="B16" s="291"/>
      <c r="C16" s="94"/>
      <c r="D16" s="95"/>
      <c r="E16" s="94"/>
      <c r="F16" s="95"/>
      <c r="G16" s="88">
        <v>12</v>
      </c>
      <c r="H16" s="87" t="s">
        <v>129</v>
      </c>
      <c r="I16" s="89"/>
      <c r="J16" s="75"/>
      <c r="K16" s="75"/>
      <c r="L16" s="75"/>
      <c r="M16" s="75"/>
      <c r="N16" s="75"/>
      <c r="O16" s="75">
        <v>1</v>
      </c>
      <c r="P16" s="143"/>
      <c r="Q16" s="75">
        <v>0</v>
      </c>
      <c r="R16" s="75">
        <f t="shared" si="13"/>
        <v>0.25</v>
      </c>
      <c r="S16" s="75">
        <f t="shared" si="14"/>
        <v>0.5</v>
      </c>
      <c r="T16" s="75">
        <f t="shared" si="15"/>
        <v>0.75</v>
      </c>
      <c r="U16" s="75">
        <f t="shared" si="16"/>
        <v>1.5</v>
      </c>
      <c r="V16" s="75">
        <f t="shared" si="17"/>
        <v>2.5</v>
      </c>
      <c r="W16" s="140"/>
      <c r="X16" s="75">
        <f t="shared" si="6"/>
        <v>0</v>
      </c>
      <c r="Y16" s="75">
        <f t="shared" si="7"/>
        <v>0</v>
      </c>
      <c r="Z16" s="75">
        <f t="shared" si="8"/>
        <v>0</v>
      </c>
      <c r="AA16" s="75">
        <f t="shared" si="9"/>
        <v>0</v>
      </c>
      <c r="AB16" s="75">
        <f t="shared" si="10"/>
        <v>0</v>
      </c>
      <c r="AC16" s="75">
        <f t="shared" si="11"/>
        <v>2.5</v>
      </c>
      <c r="AD16" s="75">
        <f t="shared" si="12"/>
        <v>2.5</v>
      </c>
      <c r="AE16" s="300"/>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c r="BD16" s="155"/>
    </row>
    <row r="17" spans="1:56" s="90" customFormat="1" ht="46.5" customHeight="1" x14ac:dyDescent="0.25">
      <c r="A17" s="297"/>
      <c r="B17" s="291"/>
      <c r="C17" s="94"/>
      <c r="D17" s="95"/>
      <c r="E17" s="96"/>
      <c r="F17" s="92"/>
      <c r="G17" s="88">
        <v>13</v>
      </c>
      <c r="H17" s="87" t="s">
        <v>130</v>
      </c>
      <c r="I17" s="89"/>
      <c r="J17" s="75"/>
      <c r="K17" s="75"/>
      <c r="L17" s="75"/>
      <c r="M17" s="75"/>
      <c r="N17" s="75"/>
      <c r="O17" s="75">
        <v>1</v>
      </c>
      <c r="P17" s="142"/>
      <c r="Q17" s="75">
        <v>0</v>
      </c>
      <c r="R17" s="75">
        <f t="shared" si="13"/>
        <v>0.25</v>
      </c>
      <c r="S17" s="75">
        <f t="shared" si="14"/>
        <v>0.5</v>
      </c>
      <c r="T17" s="75">
        <f t="shared" si="15"/>
        <v>0.75</v>
      </c>
      <c r="U17" s="75">
        <f t="shared" si="16"/>
        <v>1.5</v>
      </c>
      <c r="V17" s="75">
        <f t="shared" si="17"/>
        <v>2.5</v>
      </c>
      <c r="W17" s="140"/>
      <c r="X17" s="75">
        <f t="shared" si="6"/>
        <v>0</v>
      </c>
      <c r="Y17" s="75">
        <f t="shared" si="7"/>
        <v>0</v>
      </c>
      <c r="Z17" s="75">
        <f t="shared" si="8"/>
        <v>0</v>
      </c>
      <c r="AA17" s="75">
        <f t="shared" si="9"/>
        <v>0</v>
      </c>
      <c r="AB17" s="75">
        <f t="shared" si="10"/>
        <v>0</v>
      </c>
      <c r="AC17" s="75">
        <f t="shared" si="11"/>
        <v>2.5</v>
      </c>
      <c r="AD17" s="75">
        <f t="shared" si="12"/>
        <v>2.5</v>
      </c>
      <c r="AE17" s="300"/>
      <c r="AF17" s="155"/>
      <c r="AG17" s="155"/>
      <c r="AH17" s="155"/>
      <c r="AI17" s="155"/>
      <c r="AJ17" s="155"/>
      <c r="AK17" s="155"/>
      <c r="AL17" s="155"/>
      <c r="AM17" s="155"/>
      <c r="AN17" s="155"/>
      <c r="AO17" s="155"/>
      <c r="AP17" s="155"/>
      <c r="AQ17" s="155"/>
      <c r="AR17" s="155"/>
      <c r="AS17" s="155"/>
      <c r="AT17" s="155"/>
      <c r="AU17" s="155"/>
      <c r="AV17" s="155"/>
      <c r="AW17" s="155"/>
      <c r="AX17" s="155"/>
      <c r="AY17" s="155"/>
      <c r="AZ17" s="155"/>
      <c r="BA17" s="155"/>
      <c r="BB17" s="155"/>
      <c r="BC17" s="155"/>
      <c r="BD17" s="155"/>
    </row>
    <row r="18" spans="1:56" s="90" customFormat="1" ht="46.5" customHeight="1" x14ac:dyDescent="0.25">
      <c r="A18" s="297"/>
      <c r="B18" s="291"/>
      <c r="C18" s="94"/>
      <c r="D18" s="95"/>
      <c r="E18" s="93"/>
      <c r="F18" s="91" t="s">
        <v>131</v>
      </c>
      <c r="G18" s="88">
        <v>14</v>
      </c>
      <c r="H18" s="87" t="s">
        <v>132</v>
      </c>
      <c r="I18" s="89"/>
      <c r="J18" s="75"/>
      <c r="K18" s="75"/>
      <c r="L18" s="75"/>
      <c r="M18" s="75"/>
      <c r="N18" s="75"/>
      <c r="O18" s="75">
        <v>1</v>
      </c>
      <c r="P18" s="143"/>
      <c r="Q18" s="75">
        <v>0</v>
      </c>
      <c r="R18" s="75">
        <f t="shared" si="13"/>
        <v>0.25</v>
      </c>
      <c r="S18" s="75">
        <f t="shared" si="14"/>
        <v>0.5</v>
      </c>
      <c r="T18" s="75">
        <f t="shared" si="15"/>
        <v>0.75</v>
      </c>
      <c r="U18" s="75">
        <f t="shared" si="16"/>
        <v>1.5</v>
      </c>
      <c r="V18" s="75">
        <f t="shared" si="17"/>
        <v>2.5</v>
      </c>
      <c r="W18" s="140"/>
      <c r="X18" s="75">
        <f t="shared" si="6"/>
        <v>0</v>
      </c>
      <c r="Y18" s="75">
        <f t="shared" si="7"/>
        <v>0</v>
      </c>
      <c r="Z18" s="75">
        <f t="shared" si="8"/>
        <v>0</v>
      </c>
      <c r="AA18" s="75">
        <f t="shared" si="9"/>
        <v>0</v>
      </c>
      <c r="AB18" s="75">
        <f t="shared" si="10"/>
        <v>0</v>
      </c>
      <c r="AC18" s="75">
        <f t="shared" si="11"/>
        <v>2.5</v>
      </c>
      <c r="AD18" s="75">
        <f t="shared" si="12"/>
        <v>2.5</v>
      </c>
      <c r="AE18" s="300"/>
      <c r="AF18" s="155"/>
      <c r="AG18" s="155"/>
      <c r="AH18" s="155"/>
      <c r="AI18" s="155"/>
      <c r="AJ18" s="155"/>
      <c r="AK18" s="155"/>
      <c r="AL18" s="155"/>
      <c r="AM18" s="155"/>
      <c r="AN18" s="155"/>
      <c r="AO18" s="155"/>
      <c r="AP18" s="155"/>
      <c r="AQ18" s="155"/>
      <c r="AR18" s="155"/>
      <c r="AS18" s="155"/>
      <c r="AT18" s="155"/>
      <c r="AU18" s="155"/>
      <c r="AV18" s="155"/>
      <c r="AW18" s="155"/>
      <c r="AX18" s="155"/>
      <c r="AY18" s="155"/>
      <c r="AZ18" s="155"/>
      <c r="BA18" s="155"/>
      <c r="BB18" s="155"/>
      <c r="BC18" s="155"/>
      <c r="BD18" s="155"/>
    </row>
    <row r="19" spans="1:56" s="90" customFormat="1" ht="90" customHeight="1" x14ac:dyDescent="0.25">
      <c r="A19" s="297"/>
      <c r="B19" s="291"/>
      <c r="C19" s="94"/>
      <c r="D19" s="95"/>
      <c r="E19" s="94"/>
      <c r="F19" s="95"/>
      <c r="G19" s="88">
        <v>15</v>
      </c>
      <c r="H19" s="87" t="s">
        <v>133</v>
      </c>
      <c r="I19" s="89"/>
      <c r="J19" s="75"/>
      <c r="K19" s="75"/>
      <c r="L19" s="75"/>
      <c r="M19" s="75"/>
      <c r="N19" s="75"/>
      <c r="O19" s="75">
        <v>1</v>
      </c>
      <c r="P19" s="142"/>
      <c r="Q19" s="75">
        <v>0</v>
      </c>
      <c r="R19" s="75">
        <f t="shared" si="13"/>
        <v>0.25</v>
      </c>
      <c r="S19" s="75">
        <f t="shared" si="14"/>
        <v>0.5</v>
      </c>
      <c r="T19" s="75">
        <f t="shared" si="15"/>
        <v>0.75</v>
      </c>
      <c r="U19" s="75">
        <f t="shared" si="16"/>
        <v>1.5</v>
      </c>
      <c r="V19" s="75">
        <f t="shared" si="17"/>
        <v>2.5</v>
      </c>
      <c r="W19" s="140"/>
      <c r="X19" s="75">
        <f t="shared" si="6"/>
        <v>0</v>
      </c>
      <c r="Y19" s="75">
        <f t="shared" si="7"/>
        <v>0</v>
      </c>
      <c r="Z19" s="75">
        <f t="shared" si="8"/>
        <v>0</v>
      </c>
      <c r="AA19" s="75">
        <f t="shared" si="9"/>
        <v>0</v>
      </c>
      <c r="AB19" s="75">
        <f t="shared" si="10"/>
        <v>0</v>
      </c>
      <c r="AC19" s="75">
        <f t="shared" si="11"/>
        <v>2.5</v>
      </c>
      <c r="AD19" s="75">
        <f t="shared" si="12"/>
        <v>2.5</v>
      </c>
      <c r="AE19" s="300"/>
      <c r="AF19" s="155"/>
      <c r="AG19" s="155"/>
      <c r="AH19" s="155"/>
      <c r="AI19" s="155"/>
      <c r="AJ19" s="155"/>
      <c r="AK19" s="155"/>
      <c r="AL19" s="155"/>
      <c r="AM19" s="155"/>
      <c r="AN19" s="155"/>
      <c r="AO19" s="155"/>
      <c r="AP19" s="155"/>
      <c r="AQ19" s="155"/>
      <c r="AR19" s="155"/>
      <c r="AS19" s="155"/>
      <c r="AT19" s="155"/>
      <c r="AU19" s="155"/>
      <c r="AV19" s="155"/>
      <c r="AW19" s="155"/>
      <c r="AX19" s="155"/>
      <c r="AY19" s="155"/>
      <c r="AZ19" s="155"/>
      <c r="BA19" s="155"/>
      <c r="BB19" s="155"/>
      <c r="BC19" s="155"/>
      <c r="BD19" s="155"/>
    </row>
    <row r="20" spans="1:56" s="90" customFormat="1" ht="99.75" customHeight="1" x14ac:dyDescent="0.25">
      <c r="A20" s="297"/>
      <c r="B20" s="291"/>
      <c r="C20" s="94"/>
      <c r="D20" s="95"/>
      <c r="E20" s="96"/>
      <c r="F20" s="92"/>
      <c r="G20" s="88">
        <v>16</v>
      </c>
      <c r="H20" s="87" t="s">
        <v>134</v>
      </c>
      <c r="I20" s="89"/>
      <c r="J20" s="75"/>
      <c r="K20" s="75"/>
      <c r="L20" s="75"/>
      <c r="M20" s="75"/>
      <c r="N20" s="75"/>
      <c r="O20" s="75">
        <v>1</v>
      </c>
      <c r="P20" s="143"/>
      <c r="Q20" s="75">
        <v>0</v>
      </c>
      <c r="R20" s="75">
        <f t="shared" si="13"/>
        <v>0.25</v>
      </c>
      <c r="S20" s="75">
        <f t="shared" si="14"/>
        <v>0.5</v>
      </c>
      <c r="T20" s="75">
        <f t="shared" si="15"/>
        <v>0.75</v>
      </c>
      <c r="U20" s="75">
        <f t="shared" si="16"/>
        <v>1.5</v>
      </c>
      <c r="V20" s="75">
        <f t="shared" si="17"/>
        <v>2.5</v>
      </c>
      <c r="W20" s="140"/>
      <c r="X20" s="75">
        <f t="shared" si="6"/>
        <v>0</v>
      </c>
      <c r="Y20" s="75">
        <f t="shared" si="7"/>
        <v>0</v>
      </c>
      <c r="Z20" s="75">
        <f t="shared" si="8"/>
        <v>0</v>
      </c>
      <c r="AA20" s="75">
        <f t="shared" si="9"/>
        <v>0</v>
      </c>
      <c r="AB20" s="75">
        <f t="shared" si="10"/>
        <v>0</v>
      </c>
      <c r="AC20" s="75">
        <f t="shared" si="11"/>
        <v>2.5</v>
      </c>
      <c r="AD20" s="75">
        <f t="shared" si="12"/>
        <v>2.5</v>
      </c>
      <c r="AE20" s="300"/>
      <c r="AF20" s="155"/>
      <c r="AG20" s="155"/>
      <c r="AH20" s="155"/>
      <c r="AI20" s="155"/>
      <c r="AJ20" s="155"/>
      <c r="AK20" s="155"/>
      <c r="AL20" s="155"/>
      <c r="AM20" s="155"/>
      <c r="AN20" s="155"/>
      <c r="AO20" s="155"/>
      <c r="AP20" s="155"/>
      <c r="AQ20" s="155"/>
      <c r="AR20" s="155"/>
      <c r="AS20" s="155"/>
      <c r="AT20" s="155"/>
      <c r="AU20" s="155"/>
      <c r="AV20" s="155"/>
      <c r="AW20" s="155"/>
      <c r="AX20" s="155"/>
      <c r="AY20" s="155"/>
      <c r="AZ20" s="155"/>
      <c r="BA20" s="155"/>
      <c r="BB20" s="155"/>
      <c r="BC20" s="155"/>
      <c r="BD20" s="155"/>
    </row>
    <row r="21" spans="1:56" s="90" customFormat="1" ht="71.25" customHeight="1" x14ac:dyDescent="0.25">
      <c r="A21" s="297"/>
      <c r="B21" s="291"/>
      <c r="C21" s="94"/>
      <c r="D21" s="95"/>
      <c r="E21" s="93"/>
      <c r="F21" s="91" t="s">
        <v>135</v>
      </c>
      <c r="G21" s="88">
        <v>17</v>
      </c>
      <c r="H21" s="87" t="s">
        <v>136</v>
      </c>
      <c r="I21" s="89"/>
      <c r="J21" s="75"/>
      <c r="K21" s="75"/>
      <c r="L21" s="75"/>
      <c r="M21" s="75"/>
      <c r="N21" s="75"/>
      <c r="O21" s="75">
        <v>1</v>
      </c>
      <c r="P21" s="142"/>
      <c r="Q21" s="75">
        <v>0</v>
      </c>
      <c r="R21" s="75">
        <f t="shared" si="13"/>
        <v>0.25</v>
      </c>
      <c r="S21" s="75">
        <f t="shared" si="14"/>
        <v>0.5</v>
      </c>
      <c r="T21" s="75">
        <f t="shared" si="15"/>
        <v>0.75</v>
      </c>
      <c r="U21" s="75">
        <f t="shared" si="16"/>
        <v>1.5</v>
      </c>
      <c r="V21" s="75">
        <f t="shared" si="17"/>
        <v>2.5</v>
      </c>
      <c r="W21" s="140"/>
      <c r="X21" s="75">
        <f t="shared" si="6"/>
        <v>0</v>
      </c>
      <c r="Y21" s="75">
        <f t="shared" si="7"/>
        <v>0</v>
      </c>
      <c r="Z21" s="75">
        <f t="shared" si="8"/>
        <v>0</v>
      </c>
      <c r="AA21" s="75">
        <f t="shared" si="9"/>
        <v>0</v>
      </c>
      <c r="AB21" s="75">
        <f t="shared" si="10"/>
        <v>0</v>
      </c>
      <c r="AC21" s="75">
        <f t="shared" si="11"/>
        <v>2.5</v>
      </c>
      <c r="AD21" s="75">
        <f t="shared" si="12"/>
        <v>2.5</v>
      </c>
      <c r="AE21" s="300"/>
      <c r="AF21" s="155"/>
      <c r="AG21" s="155"/>
      <c r="AH21" s="155"/>
      <c r="AI21" s="155"/>
      <c r="AJ21" s="155"/>
      <c r="AK21" s="155"/>
      <c r="AL21" s="155"/>
      <c r="AM21" s="155"/>
      <c r="AN21" s="155"/>
      <c r="AO21" s="155"/>
      <c r="AP21" s="155"/>
      <c r="AQ21" s="155"/>
      <c r="AR21" s="155"/>
      <c r="AS21" s="155"/>
      <c r="AT21" s="155"/>
      <c r="AU21" s="155"/>
      <c r="AV21" s="155"/>
      <c r="AW21" s="155"/>
      <c r="AX21" s="155"/>
      <c r="AY21" s="155"/>
      <c r="AZ21" s="155"/>
      <c r="BA21" s="155"/>
      <c r="BB21" s="155"/>
      <c r="BC21" s="155"/>
      <c r="BD21" s="155"/>
    </row>
    <row r="22" spans="1:56" s="90" customFormat="1" ht="110.25" customHeight="1" x14ac:dyDescent="0.25">
      <c r="A22" s="297"/>
      <c r="B22" s="291"/>
      <c r="C22" s="96"/>
      <c r="D22" s="92"/>
      <c r="E22" s="96"/>
      <c r="F22" s="92"/>
      <c r="G22" s="88">
        <v>18</v>
      </c>
      <c r="H22" s="87" t="s">
        <v>137</v>
      </c>
      <c r="I22" s="89"/>
      <c r="J22" s="75"/>
      <c r="K22" s="75"/>
      <c r="L22" s="75"/>
      <c r="M22" s="75"/>
      <c r="N22" s="75"/>
      <c r="O22" s="75">
        <v>1</v>
      </c>
      <c r="P22" s="143"/>
      <c r="Q22" s="75">
        <v>0</v>
      </c>
      <c r="R22" s="75">
        <f t="shared" si="13"/>
        <v>0.25</v>
      </c>
      <c r="S22" s="75">
        <f t="shared" si="14"/>
        <v>0.5</v>
      </c>
      <c r="T22" s="75">
        <f t="shared" si="15"/>
        <v>0.75</v>
      </c>
      <c r="U22" s="75">
        <f t="shared" si="16"/>
        <v>1.5</v>
      </c>
      <c r="V22" s="75">
        <f t="shared" si="17"/>
        <v>2.5</v>
      </c>
      <c r="W22" s="140"/>
      <c r="X22" s="75">
        <f t="shared" si="6"/>
        <v>0</v>
      </c>
      <c r="Y22" s="75">
        <f t="shared" si="7"/>
        <v>0</v>
      </c>
      <c r="Z22" s="75">
        <f t="shared" si="8"/>
        <v>0</v>
      </c>
      <c r="AA22" s="75">
        <f t="shared" si="9"/>
        <v>0</v>
      </c>
      <c r="AB22" s="75">
        <f t="shared" si="10"/>
        <v>0</v>
      </c>
      <c r="AC22" s="75">
        <f t="shared" si="11"/>
        <v>2.5</v>
      </c>
      <c r="AD22" s="75">
        <f t="shared" si="12"/>
        <v>2.5</v>
      </c>
      <c r="AE22" s="300"/>
      <c r="AF22" s="155"/>
      <c r="AG22" s="155"/>
      <c r="AH22" s="155"/>
      <c r="AI22" s="155"/>
      <c r="AJ22" s="155"/>
      <c r="AK22" s="155"/>
      <c r="AL22" s="155"/>
      <c r="AM22" s="155"/>
      <c r="AN22" s="155"/>
      <c r="AO22" s="155"/>
      <c r="AP22" s="155"/>
      <c r="AQ22" s="155"/>
      <c r="AR22" s="155"/>
      <c r="AS22" s="155"/>
      <c r="AT22" s="155"/>
      <c r="AU22" s="155"/>
      <c r="AV22" s="155"/>
      <c r="AW22" s="155"/>
      <c r="AX22" s="155"/>
      <c r="AY22" s="155"/>
      <c r="AZ22" s="155"/>
      <c r="BA22" s="155"/>
      <c r="BB22" s="155"/>
      <c r="BC22" s="155"/>
      <c r="BD22" s="155"/>
    </row>
    <row r="23" spans="1:56" s="90" customFormat="1" ht="104.25" customHeight="1" x14ac:dyDescent="0.25">
      <c r="A23" s="297"/>
      <c r="B23" s="291"/>
      <c r="C23" s="93"/>
      <c r="D23" s="91" t="s">
        <v>4</v>
      </c>
      <c r="E23" s="93"/>
      <c r="F23" s="91" t="s">
        <v>138</v>
      </c>
      <c r="G23" s="88">
        <v>19</v>
      </c>
      <c r="H23" s="87" t="s">
        <v>139</v>
      </c>
      <c r="I23" s="89" t="s">
        <v>282</v>
      </c>
      <c r="J23" s="75"/>
      <c r="K23" s="75"/>
      <c r="L23" s="75"/>
      <c r="M23" s="75"/>
      <c r="N23" s="75"/>
      <c r="O23" s="75">
        <v>1</v>
      </c>
      <c r="P23" s="142"/>
      <c r="Q23" s="75">
        <v>0</v>
      </c>
      <c r="R23" s="75">
        <f t="shared" si="13"/>
        <v>0.25</v>
      </c>
      <c r="S23" s="75">
        <f t="shared" si="14"/>
        <v>0.5</v>
      </c>
      <c r="T23" s="75">
        <f t="shared" si="15"/>
        <v>0.75</v>
      </c>
      <c r="U23" s="75">
        <f t="shared" si="16"/>
        <v>1.5</v>
      </c>
      <c r="V23" s="75">
        <f t="shared" si="17"/>
        <v>2.5</v>
      </c>
      <c r="W23" s="140"/>
      <c r="X23" s="75">
        <f t="shared" si="6"/>
        <v>0</v>
      </c>
      <c r="Y23" s="75">
        <f t="shared" si="7"/>
        <v>0</v>
      </c>
      <c r="Z23" s="75">
        <f t="shared" si="8"/>
        <v>0</v>
      </c>
      <c r="AA23" s="75">
        <f t="shared" si="9"/>
        <v>0</v>
      </c>
      <c r="AB23" s="75">
        <f t="shared" si="10"/>
        <v>0</v>
      </c>
      <c r="AC23" s="75">
        <f t="shared" si="11"/>
        <v>2.5</v>
      </c>
      <c r="AD23" s="75">
        <f t="shared" si="12"/>
        <v>2.5</v>
      </c>
      <c r="AE23" s="300"/>
      <c r="AF23" s="155"/>
      <c r="AG23" s="155"/>
      <c r="AH23" s="155"/>
      <c r="AI23" s="155"/>
      <c r="AJ23" s="155"/>
      <c r="AK23" s="155"/>
      <c r="AL23" s="155"/>
      <c r="AM23" s="155"/>
      <c r="AN23" s="155"/>
      <c r="AO23" s="155"/>
      <c r="AP23" s="155"/>
      <c r="AQ23" s="155"/>
      <c r="AR23" s="155"/>
      <c r="AS23" s="155"/>
      <c r="AT23" s="155"/>
      <c r="AU23" s="155"/>
      <c r="AV23" s="155"/>
      <c r="AW23" s="155"/>
      <c r="AX23" s="155"/>
      <c r="AY23" s="155"/>
      <c r="AZ23" s="155"/>
      <c r="BA23" s="155"/>
      <c r="BB23" s="155"/>
      <c r="BC23" s="155"/>
      <c r="BD23" s="155"/>
    </row>
    <row r="24" spans="1:56" s="90" customFormat="1" ht="88.5" customHeight="1" x14ac:dyDescent="0.25">
      <c r="A24" s="297"/>
      <c r="B24" s="291"/>
      <c r="C24" s="94"/>
      <c r="D24" s="95"/>
      <c r="E24" s="96"/>
      <c r="F24" s="92"/>
      <c r="G24" s="88">
        <v>20</v>
      </c>
      <c r="H24" s="87" t="s">
        <v>140</v>
      </c>
      <c r="I24" s="89"/>
      <c r="J24" s="75"/>
      <c r="K24" s="75"/>
      <c r="L24" s="75"/>
      <c r="M24" s="75"/>
      <c r="N24" s="75"/>
      <c r="O24" s="75">
        <v>1</v>
      </c>
      <c r="P24" s="143"/>
      <c r="Q24" s="75">
        <v>0</v>
      </c>
      <c r="R24" s="75">
        <f t="shared" si="13"/>
        <v>0.25</v>
      </c>
      <c r="S24" s="75">
        <f t="shared" si="14"/>
        <v>0.5</v>
      </c>
      <c r="T24" s="75">
        <f t="shared" si="15"/>
        <v>0.75</v>
      </c>
      <c r="U24" s="75">
        <f t="shared" si="16"/>
        <v>1.5</v>
      </c>
      <c r="V24" s="75">
        <f t="shared" si="17"/>
        <v>2.5</v>
      </c>
      <c r="W24" s="140"/>
      <c r="X24" s="75">
        <f t="shared" si="6"/>
        <v>0</v>
      </c>
      <c r="Y24" s="75">
        <f t="shared" si="7"/>
        <v>0</v>
      </c>
      <c r="Z24" s="75">
        <f t="shared" si="8"/>
        <v>0</v>
      </c>
      <c r="AA24" s="75">
        <f t="shared" si="9"/>
        <v>0</v>
      </c>
      <c r="AB24" s="75">
        <f t="shared" si="10"/>
        <v>0</v>
      </c>
      <c r="AC24" s="75">
        <f t="shared" si="11"/>
        <v>2.5</v>
      </c>
      <c r="AD24" s="75">
        <f t="shared" si="12"/>
        <v>2.5</v>
      </c>
      <c r="AE24" s="300"/>
      <c r="AF24" s="155"/>
      <c r="AG24" s="155"/>
      <c r="AH24" s="155"/>
      <c r="AI24" s="155"/>
      <c r="AJ24" s="155"/>
      <c r="AK24" s="155"/>
      <c r="AL24" s="155"/>
      <c r="AM24" s="155"/>
      <c r="AN24" s="155"/>
      <c r="AO24" s="155"/>
      <c r="AP24" s="155"/>
      <c r="AQ24" s="155"/>
      <c r="AR24" s="155"/>
      <c r="AS24" s="155"/>
      <c r="AT24" s="155"/>
      <c r="AU24" s="155"/>
      <c r="AV24" s="155"/>
      <c r="AW24" s="155"/>
      <c r="AX24" s="155"/>
      <c r="AY24" s="155"/>
      <c r="AZ24" s="155"/>
      <c r="BA24" s="155"/>
      <c r="BB24" s="155"/>
      <c r="BC24" s="155"/>
      <c r="BD24" s="155"/>
    </row>
    <row r="25" spans="1:56" s="90" customFormat="1" ht="88.5" customHeight="1" x14ac:dyDescent="0.25">
      <c r="A25" s="297"/>
      <c r="B25" s="291"/>
      <c r="C25" s="94"/>
      <c r="D25" s="95"/>
      <c r="E25" s="93"/>
      <c r="F25" s="91" t="s">
        <v>141</v>
      </c>
      <c r="G25" s="88">
        <v>21</v>
      </c>
      <c r="H25" s="87" t="s">
        <v>142</v>
      </c>
      <c r="I25" s="89"/>
      <c r="J25" s="75"/>
      <c r="K25" s="75"/>
      <c r="L25" s="75"/>
      <c r="M25" s="75"/>
      <c r="N25" s="75"/>
      <c r="O25" s="75">
        <v>1</v>
      </c>
      <c r="P25" s="142"/>
      <c r="Q25" s="75">
        <v>0</v>
      </c>
      <c r="R25" s="75">
        <f t="shared" si="13"/>
        <v>0.25</v>
      </c>
      <c r="S25" s="75">
        <f t="shared" si="14"/>
        <v>0.5</v>
      </c>
      <c r="T25" s="75">
        <f t="shared" si="15"/>
        <v>0.75</v>
      </c>
      <c r="U25" s="75">
        <f t="shared" si="16"/>
        <v>1.5</v>
      </c>
      <c r="V25" s="75">
        <f t="shared" si="17"/>
        <v>2.5</v>
      </c>
      <c r="W25" s="140"/>
      <c r="X25" s="75">
        <f t="shared" si="6"/>
        <v>0</v>
      </c>
      <c r="Y25" s="75">
        <f t="shared" si="7"/>
        <v>0</v>
      </c>
      <c r="Z25" s="75">
        <f t="shared" si="8"/>
        <v>0</v>
      </c>
      <c r="AA25" s="75">
        <f t="shared" si="9"/>
        <v>0</v>
      </c>
      <c r="AB25" s="75">
        <f t="shared" si="10"/>
        <v>0</v>
      </c>
      <c r="AC25" s="75">
        <f t="shared" si="11"/>
        <v>2.5</v>
      </c>
      <c r="AD25" s="75">
        <f t="shared" si="12"/>
        <v>2.5</v>
      </c>
      <c r="AE25" s="300"/>
      <c r="AF25" s="155"/>
      <c r="AG25" s="155"/>
      <c r="AH25" s="155"/>
      <c r="AI25" s="155"/>
      <c r="AJ25" s="155"/>
      <c r="AK25" s="155"/>
      <c r="AL25" s="155"/>
      <c r="AM25" s="155"/>
      <c r="AN25" s="155"/>
      <c r="AO25" s="155"/>
      <c r="AP25" s="155"/>
      <c r="AQ25" s="155"/>
      <c r="AR25" s="155"/>
      <c r="AS25" s="155"/>
      <c r="AT25" s="155"/>
      <c r="AU25" s="155"/>
      <c r="AV25" s="155"/>
      <c r="AW25" s="155"/>
      <c r="AX25" s="155"/>
      <c r="AY25" s="155"/>
      <c r="AZ25" s="155"/>
      <c r="BA25" s="155"/>
      <c r="BB25" s="155"/>
      <c r="BC25" s="155"/>
      <c r="BD25" s="155"/>
    </row>
    <row r="26" spans="1:56" s="90" customFormat="1" ht="69" customHeight="1" x14ac:dyDescent="0.25">
      <c r="A26" s="297"/>
      <c r="B26" s="291"/>
      <c r="C26" s="94"/>
      <c r="D26" s="95"/>
      <c r="E26" s="94"/>
      <c r="F26" s="95"/>
      <c r="G26" s="88">
        <v>22</v>
      </c>
      <c r="H26" s="87" t="s">
        <v>143</v>
      </c>
      <c r="I26" s="89"/>
      <c r="J26" s="75"/>
      <c r="K26" s="75"/>
      <c r="L26" s="75"/>
      <c r="M26" s="75"/>
      <c r="N26" s="75"/>
      <c r="O26" s="75">
        <v>1</v>
      </c>
      <c r="P26" s="143"/>
      <c r="Q26" s="75">
        <v>0</v>
      </c>
      <c r="R26" s="75">
        <f t="shared" si="13"/>
        <v>0.25</v>
      </c>
      <c r="S26" s="75">
        <f t="shared" si="14"/>
        <v>0.5</v>
      </c>
      <c r="T26" s="75">
        <f t="shared" si="15"/>
        <v>0.75</v>
      </c>
      <c r="U26" s="75">
        <f t="shared" si="16"/>
        <v>1.5</v>
      </c>
      <c r="V26" s="75">
        <f t="shared" si="17"/>
        <v>2.5</v>
      </c>
      <c r="W26" s="140"/>
      <c r="X26" s="75">
        <f t="shared" si="6"/>
        <v>0</v>
      </c>
      <c r="Y26" s="75">
        <f t="shared" si="7"/>
        <v>0</v>
      </c>
      <c r="Z26" s="75">
        <f t="shared" si="8"/>
        <v>0</v>
      </c>
      <c r="AA26" s="75">
        <f t="shared" si="9"/>
        <v>0</v>
      </c>
      <c r="AB26" s="75">
        <f t="shared" si="10"/>
        <v>0</v>
      </c>
      <c r="AC26" s="75">
        <f t="shared" si="11"/>
        <v>2.5</v>
      </c>
      <c r="AD26" s="75">
        <f t="shared" si="12"/>
        <v>2.5</v>
      </c>
      <c r="AE26" s="300"/>
      <c r="AF26" s="155"/>
      <c r="AG26" s="155"/>
      <c r="AH26" s="155"/>
      <c r="AI26" s="155"/>
      <c r="AJ26" s="155"/>
      <c r="AK26" s="155"/>
      <c r="AL26" s="155"/>
      <c r="AM26" s="155"/>
      <c r="AN26" s="155"/>
      <c r="AO26" s="155"/>
      <c r="AP26" s="155"/>
      <c r="AQ26" s="155"/>
      <c r="AR26" s="155"/>
      <c r="AS26" s="155"/>
      <c r="AT26" s="155"/>
      <c r="AU26" s="155"/>
      <c r="AV26" s="155"/>
      <c r="AW26" s="155"/>
      <c r="AX26" s="155"/>
      <c r="AY26" s="155"/>
      <c r="AZ26" s="155"/>
      <c r="BA26" s="155"/>
      <c r="BB26" s="155"/>
      <c r="BC26" s="155"/>
      <c r="BD26" s="155"/>
    </row>
    <row r="27" spans="1:56" s="90" customFormat="1" ht="80.25" customHeight="1" x14ac:dyDescent="0.25">
      <c r="A27" s="297"/>
      <c r="B27" s="291"/>
      <c r="C27" s="94"/>
      <c r="D27" s="95"/>
      <c r="E27" s="94"/>
      <c r="F27" s="95"/>
      <c r="G27" s="88">
        <v>23</v>
      </c>
      <c r="H27" s="87" t="s">
        <v>144</v>
      </c>
      <c r="I27" s="89"/>
      <c r="J27" s="75"/>
      <c r="K27" s="75"/>
      <c r="L27" s="75"/>
      <c r="M27" s="75"/>
      <c r="N27" s="75"/>
      <c r="O27" s="75">
        <v>1</v>
      </c>
      <c r="P27" s="142"/>
      <c r="Q27" s="75">
        <v>0</v>
      </c>
      <c r="R27" s="75">
        <f t="shared" si="13"/>
        <v>0.25</v>
      </c>
      <c r="S27" s="75">
        <f t="shared" si="14"/>
        <v>0.5</v>
      </c>
      <c r="T27" s="75">
        <f t="shared" si="15"/>
        <v>0.75</v>
      </c>
      <c r="U27" s="75">
        <f t="shared" si="16"/>
        <v>1.5</v>
      </c>
      <c r="V27" s="75">
        <f t="shared" si="17"/>
        <v>2.5</v>
      </c>
      <c r="W27" s="140"/>
      <c r="X27" s="75">
        <f t="shared" si="6"/>
        <v>0</v>
      </c>
      <c r="Y27" s="75">
        <f t="shared" si="7"/>
        <v>0</v>
      </c>
      <c r="Z27" s="75">
        <f t="shared" si="8"/>
        <v>0</v>
      </c>
      <c r="AA27" s="75">
        <f t="shared" si="9"/>
        <v>0</v>
      </c>
      <c r="AB27" s="75">
        <f t="shared" si="10"/>
        <v>0</v>
      </c>
      <c r="AC27" s="75">
        <f t="shared" si="11"/>
        <v>2.5</v>
      </c>
      <c r="AD27" s="75">
        <f t="shared" si="12"/>
        <v>2.5</v>
      </c>
      <c r="AE27" s="300"/>
      <c r="AF27" s="155"/>
      <c r="AG27" s="155"/>
      <c r="AH27" s="155"/>
      <c r="AI27" s="155"/>
      <c r="AJ27" s="155"/>
      <c r="AK27" s="155"/>
      <c r="AL27" s="155"/>
      <c r="AM27" s="155"/>
      <c r="AN27" s="155"/>
      <c r="AO27" s="155"/>
      <c r="AP27" s="155"/>
      <c r="AQ27" s="155"/>
      <c r="AR27" s="155"/>
      <c r="AS27" s="155"/>
      <c r="AT27" s="155"/>
      <c r="AU27" s="155"/>
      <c r="AV27" s="155"/>
      <c r="AW27" s="155"/>
      <c r="AX27" s="155"/>
      <c r="AY27" s="155"/>
      <c r="AZ27" s="155"/>
      <c r="BA27" s="155"/>
      <c r="BB27" s="155"/>
      <c r="BC27" s="155"/>
      <c r="BD27" s="155"/>
    </row>
    <row r="28" spans="1:56" s="90" customFormat="1" ht="70.5" customHeight="1" x14ac:dyDescent="0.25">
      <c r="A28" s="297"/>
      <c r="B28" s="291"/>
      <c r="C28" s="94"/>
      <c r="D28" s="95"/>
      <c r="E28" s="96"/>
      <c r="F28" s="92"/>
      <c r="G28" s="88">
        <v>24</v>
      </c>
      <c r="H28" s="87" t="s">
        <v>145</v>
      </c>
      <c r="I28" s="89"/>
      <c r="J28" s="75"/>
      <c r="K28" s="75"/>
      <c r="L28" s="75"/>
      <c r="M28" s="75"/>
      <c r="N28" s="75"/>
      <c r="O28" s="75">
        <v>1</v>
      </c>
      <c r="P28" s="143"/>
      <c r="Q28" s="75">
        <v>0</v>
      </c>
      <c r="R28" s="75">
        <f t="shared" si="13"/>
        <v>0.25</v>
      </c>
      <c r="S28" s="75">
        <f t="shared" si="14"/>
        <v>0.5</v>
      </c>
      <c r="T28" s="75">
        <f t="shared" si="15"/>
        <v>0.75</v>
      </c>
      <c r="U28" s="75">
        <f t="shared" si="16"/>
        <v>1.5</v>
      </c>
      <c r="V28" s="75">
        <f t="shared" si="17"/>
        <v>2.5</v>
      </c>
      <c r="W28" s="140"/>
      <c r="X28" s="75">
        <f t="shared" si="6"/>
        <v>0</v>
      </c>
      <c r="Y28" s="75">
        <f t="shared" si="7"/>
        <v>0</v>
      </c>
      <c r="Z28" s="75">
        <f t="shared" si="8"/>
        <v>0</v>
      </c>
      <c r="AA28" s="75">
        <f t="shared" si="9"/>
        <v>0</v>
      </c>
      <c r="AB28" s="75">
        <f t="shared" si="10"/>
        <v>0</v>
      </c>
      <c r="AC28" s="75">
        <f t="shared" si="11"/>
        <v>2.5</v>
      </c>
      <c r="AD28" s="75">
        <f t="shared" si="12"/>
        <v>2.5</v>
      </c>
      <c r="AE28" s="300"/>
      <c r="AF28" s="155"/>
      <c r="AG28" s="155"/>
      <c r="AH28" s="155"/>
      <c r="AI28" s="155"/>
      <c r="AJ28" s="155"/>
      <c r="AK28" s="155"/>
      <c r="AL28" s="155"/>
      <c r="AM28" s="155"/>
      <c r="AN28" s="155"/>
      <c r="AO28" s="155"/>
      <c r="AP28" s="155"/>
      <c r="AQ28" s="155"/>
      <c r="AR28" s="155"/>
      <c r="AS28" s="155"/>
      <c r="AT28" s="155"/>
      <c r="AU28" s="155"/>
      <c r="AV28" s="155"/>
      <c r="AW28" s="155"/>
      <c r="AX28" s="155"/>
      <c r="AY28" s="155"/>
      <c r="AZ28" s="155"/>
      <c r="BA28" s="155"/>
      <c r="BB28" s="155"/>
      <c r="BC28" s="155"/>
      <c r="BD28" s="155"/>
    </row>
    <row r="29" spans="1:56" s="90" customFormat="1" ht="51" customHeight="1" x14ac:dyDescent="0.25">
      <c r="A29" s="297"/>
      <c r="B29" s="291"/>
      <c r="C29" s="94"/>
      <c r="D29" s="95"/>
      <c r="E29" s="93"/>
      <c r="F29" s="91" t="s">
        <v>146</v>
      </c>
      <c r="G29" s="88">
        <v>25</v>
      </c>
      <c r="H29" s="87" t="s">
        <v>147</v>
      </c>
      <c r="I29" s="89"/>
      <c r="J29" s="75"/>
      <c r="K29" s="75"/>
      <c r="L29" s="75"/>
      <c r="M29" s="75"/>
      <c r="N29" s="75"/>
      <c r="O29" s="75">
        <v>1</v>
      </c>
      <c r="P29" s="142"/>
      <c r="Q29" s="75">
        <v>0</v>
      </c>
      <c r="R29" s="75">
        <f t="shared" si="13"/>
        <v>0.25</v>
      </c>
      <c r="S29" s="75">
        <f t="shared" si="14"/>
        <v>0.5</v>
      </c>
      <c r="T29" s="75">
        <f t="shared" si="15"/>
        <v>0.75</v>
      </c>
      <c r="U29" s="75">
        <f t="shared" si="16"/>
        <v>1.5</v>
      </c>
      <c r="V29" s="75">
        <f t="shared" si="17"/>
        <v>2.5</v>
      </c>
      <c r="W29" s="140"/>
      <c r="X29" s="75">
        <f t="shared" si="6"/>
        <v>0</v>
      </c>
      <c r="Y29" s="75">
        <f t="shared" si="7"/>
        <v>0</v>
      </c>
      <c r="Z29" s="75">
        <f t="shared" si="8"/>
        <v>0</v>
      </c>
      <c r="AA29" s="75">
        <f t="shared" si="9"/>
        <v>0</v>
      </c>
      <c r="AB29" s="75">
        <f t="shared" si="10"/>
        <v>0</v>
      </c>
      <c r="AC29" s="75">
        <f t="shared" si="11"/>
        <v>2.5</v>
      </c>
      <c r="AD29" s="75">
        <f t="shared" si="12"/>
        <v>2.5</v>
      </c>
      <c r="AE29" s="300"/>
      <c r="AF29" s="155"/>
      <c r="AG29" s="155"/>
      <c r="AH29" s="155"/>
      <c r="AI29" s="155"/>
      <c r="AJ29" s="155"/>
      <c r="AK29" s="155"/>
      <c r="AL29" s="155"/>
      <c r="AM29" s="155"/>
      <c r="AN29" s="155"/>
      <c r="AO29" s="155"/>
      <c r="AP29" s="155"/>
      <c r="AQ29" s="155"/>
      <c r="AR29" s="155"/>
      <c r="AS29" s="155"/>
      <c r="AT29" s="155"/>
      <c r="AU29" s="155"/>
      <c r="AV29" s="155"/>
      <c r="AW29" s="155"/>
      <c r="AX29" s="155"/>
      <c r="AY29" s="155"/>
      <c r="AZ29" s="155"/>
      <c r="BA29" s="155"/>
      <c r="BB29" s="155"/>
      <c r="BC29" s="155"/>
      <c r="BD29" s="155"/>
    </row>
    <row r="30" spans="1:56" s="90" customFormat="1" ht="108" customHeight="1" x14ac:dyDescent="0.25">
      <c r="A30" s="297"/>
      <c r="B30" s="291"/>
      <c r="C30" s="94"/>
      <c r="D30" s="95"/>
      <c r="E30" s="94"/>
      <c r="F30" s="95"/>
      <c r="G30" s="88">
        <v>26</v>
      </c>
      <c r="H30" s="87" t="s">
        <v>148</v>
      </c>
      <c r="I30" s="89"/>
      <c r="J30" s="75"/>
      <c r="K30" s="75"/>
      <c r="L30" s="75"/>
      <c r="M30" s="75"/>
      <c r="N30" s="75"/>
      <c r="O30" s="75">
        <v>1</v>
      </c>
      <c r="P30" s="143"/>
      <c r="Q30" s="75">
        <v>0</v>
      </c>
      <c r="R30" s="75">
        <f t="shared" si="13"/>
        <v>0.25</v>
      </c>
      <c r="S30" s="75">
        <f t="shared" si="14"/>
        <v>0.5</v>
      </c>
      <c r="T30" s="75">
        <f t="shared" si="15"/>
        <v>0.75</v>
      </c>
      <c r="U30" s="75">
        <f t="shared" si="16"/>
        <v>1.5</v>
      </c>
      <c r="V30" s="75">
        <f t="shared" si="17"/>
        <v>2.5</v>
      </c>
      <c r="W30" s="140"/>
      <c r="X30" s="75">
        <f t="shared" si="6"/>
        <v>0</v>
      </c>
      <c r="Y30" s="75">
        <f t="shared" si="7"/>
        <v>0</v>
      </c>
      <c r="Z30" s="75">
        <f t="shared" si="8"/>
        <v>0</v>
      </c>
      <c r="AA30" s="75">
        <f t="shared" si="9"/>
        <v>0</v>
      </c>
      <c r="AB30" s="75">
        <f t="shared" si="10"/>
        <v>0</v>
      </c>
      <c r="AC30" s="75">
        <f t="shared" si="11"/>
        <v>2.5</v>
      </c>
      <c r="AD30" s="75">
        <f t="shared" si="12"/>
        <v>2.5</v>
      </c>
      <c r="AE30" s="300"/>
      <c r="AF30" s="155"/>
      <c r="AG30" s="155"/>
      <c r="AH30" s="155"/>
      <c r="AI30" s="155"/>
      <c r="AJ30" s="155"/>
      <c r="AK30" s="155"/>
      <c r="AL30" s="155"/>
      <c r="AM30" s="155"/>
      <c r="AN30" s="155"/>
      <c r="AO30" s="155"/>
      <c r="AP30" s="155"/>
      <c r="AQ30" s="155"/>
      <c r="AR30" s="155"/>
      <c r="AS30" s="155"/>
      <c r="AT30" s="155"/>
      <c r="AU30" s="155"/>
      <c r="AV30" s="155"/>
      <c r="AW30" s="155"/>
      <c r="AX30" s="155"/>
      <c r="AY30" s="155"/>
      <c r="AZ30" s="155"/>
      <c r="BA30" s="155"/>
      <c r="BB30" s="155"/>
      <c r="BC30" s="155"/>
      <c r="BD30" s="155"/>
    </row>
    <row r="31" spans="1:56" s="90" customFormat="1" ht="60" customHeight="1" x14ac:dyDescent="0.25">
      <c r="A31" s="297"/>
      <c r="B31" s="291"/>
      <c r="C31" s="96"/>
      <c r="D31" s="92"/>
      <c r="E31" s="96"/>
      <c r="F31" s="92"/>
      <c r="G31" s="88">
        <v>27</v>
      </c>
      <c r="H31" s="87" t="s">
        <v>149</v>
      </c>
      <c r="I31" s="89"/>
      <c r="J31" s="75"/>
      <c r="K31" s="75"/>
      <c r="L31" s="75"/>
      <c r="M31" s="75"/>
      <c r="N31" s="75"/>
      <c r="O31" s="75">
        <v>1</v>
      </c>
      <c r="P31" s="142"/>
      <c r="Q31" s="75">
        <v>0</v>
      </c>
      <c r="R31" s="75">
        <f t="shared" si="13"/>
        <v>0.25</v>
      </c>
      <c r="S31" s="75">
        <f t="shared" si="14"/>
        <v>0.5</v>
      </c>
      <c r="T31" s="75">
        <f t="shared" si="15"/>
        <v>0.75</v>
      </c>
      <c r="U31" s="75">
        <f t="shared" si="16"/>
        <v>1.5</v>
      </c>
      <c r="V31" s="75">
        <f t="shared" si="17"/>
        <v>2.5</v>
      </c>
      <c r="W31" s="140"/>
      <c r="X31" s="75">
        <f t="shared" si="6"/>
        <v>0</v>
      </c>
      <c r="Y31" s="75">
        <f t="shared" si="7"/>
        <v>0</v>
      </c>
      <c r="Z31" s="75">
        <f t="shared" si="8"/>
        <v>0</v>
      </c>
      <c r="AA31" s="75">
        <f t="shared" si="9"/>
        <v>0</v>
      </c>
      <c r="AB31" s="75">
        <f t="shared" si="10"/>
        <v>0</v>
      </c>
      <c r="AC31" s="75">
        <f t="shared" si="11"/>
        <v>2.5</v>
      </c>
      <c r="AD31" s="75">
        <f t="shared" si="12"/>
        <v>2.5</v>
      </c>
      <c r="AE31" s="300"/>
      <c r="AF31" s="155"/>
      <c r="AG31" s="155"/>
      <c r="AH31" s="155"/>
      <c r="AI31" s="155"/>
      <c r="AJ31" s="155"/>
      <c r="AK31" s="155"/>
      <c r="AL31" s="155"/>
      <c r="AM31" s="155"/>
      <c r="AN31" s="155"/>
      <c r="AO31" s="155"/>
      <c r="AP31" s="155"/>
      <c r="AQ31" s="155"/>
      <c r="AR31" s="155"/>
      <c r="AS31" s="155"/>
      <c r="AT31" s="155"/>
      <c r="AU31" s="155"/>
      <c r="AV31" s="155"/>
      <c r="AW31" s="155"/>
      <c r="AX31" s="155"/>
      <c r="AY31" s="155"/>
      <c r="AZ31" s="155"/>
      <c r="BA31" s="155"/>
      <c r="BB31" s="155"/>
      <c r="BC31" s="155"/>
      <c r="BD31" s="155"/>
    </row>
    <row r="32" spans="1:56" s="90" customFormat="1" ht="171" customHeight="1" x14ac:dyDescent="0.25">
      <c r="A32" s="297"/>
      <c r="B32" s="291"/>
      <c r="C32" s="93"/>
      <c r="D32" s="91" t="s">
        <v>5</v>
      </c>
      <c r="E32" s="93"/>
      <c r="F32" s="91" t="s">
        <v>155</v>
      </c>
      <c r="G32" s="88">
        <v>28</v>
      </c>
      <c r="H32" s="87" t="s">
        <v>150</v>
      </c>
      <c r="I32" s="89" t="s">
        <v>283</v>
      </c>
      <c r="J32" s="75"/>
      <c r="K32" s="75"/>
      <c r="L32" s="75"/>
      <c r="M32" s="75"/>
      <c r="N32" s="75"/>
      <c r="O32" s="75">
        <v>1</v>
      </c>
      <c r="P32" s="143"/>
      <c r="Q32" s="75">
        <v>0</v>
      </c>
      <c r="R32" s="75">
        <f t="shared" si="13"/>
        <v>0.25</v>
      </c>
      <c r="S32" s="75">
        <f t="shared" si="14"/>
        <v>0.5</v>
      </c>
      <c r="T32" s="75">
        <f t="shared" si="15"/>
        <v>0.75</v>
      </c>
      <c r="U32" s="75">
        <f t="shared" si="16"/>
        <v>1.5</v>
      </c>
      <c r="V32" s="75">
        <f t="shared" si="17"/>
        <v>2.5</v>
      </c>
      <c r="W32" s="140"/>
      <c r="X32" s="75">
        <f t="shared" si="6"/>
        <v>0</v>
      </c>
      <c r="Y32" s="75">
        <f t="shared" si="7"/>
        <v>0</v>
      </c>
      <c r="Z32" s="75">
        <f t="shared" si="8"/>
        <v>0</v>
      </c>
      <c r="AA32" s="75">
        <f t="shared" si="9"/>
        <v>0</v>
      </c>
      <c r="AB32" s="75">
        <f t="shared" si="10"/>
        <v>0</v>
      </c>
      <c r="AC32" s="75">
        <f t="shared" si="11"/>
        <v>2.5</v>
      </c>
      <c r="AD32" s="75">
        <f t="shared" si="12"/>
        <v>2.5</v>
      </c>
      <c r="AE32" s="300"/>
      <c r="AF32" s="155"/>
      <c r="AG32" s="155"/>
      <c r="AH32" s="155"/>
      <c r="AI32" s="155"/>
      <c r="AJ32" s="155"/>
      <c r="AK32" s="155"/>
      <c r="AL32" s="155"/>
      <c r="AM32" s="155"/>
      <c r="AN32" s="155"/>
      <c r="AO32" s="155"/>
      <c r="AP32" s="155"/>
      <c r="AQ32" s="155"/>
      <c r="AR32" s="155"/>
      <c r="AS32" s="155"/>
      <c r="AT32" s="155"/>
      <c r="AU32" s="155"/>
      <c r="AV32" s="155"/>
      <c r="AW32" s="155"/>
      <c r="AX32" s="155"/>
      <c r="AY32" s="155"/>
      <c r="AZ32" s="155"/>
      <c r="BA32" s="155"/>
      <c r="BB32" s="155"/>
      <c r="BC32" s="155"/>
      <c r="BD32" s="155"/>
    </row>
    <row r="33" spans="1:56" s="90" customFormat="1" ht="69.75" customHeight="1" x14ac:dyDescent="0.25">
      <c r="A33" s="297"/>
      <c r="B33" s="291"/>
      <c r="C33" s="94"/>
      <c r="D33" s="95"/>
      <c r="E33" s="94"/>
      <c r="F33" s="95"/>
      <c r="G33" s="88">
        <v>29</v>
      </c>
      <c r="H33" s="87" t="s">
        <v>151</v>
      </c>
      <c r="I33" s="89"/>
      <c r="J33" s="75"/>
      <c r="K33" s="75"/>
      <c r="L33" s="75"/>
      <c r="M33" s="75"/>
      <c r="N33" s="75"/>
      <c r="O33" s="75">
        <v>1</v>
      </c>
      <c r="P33" s="142"/>
      <c r="Q33" s="75">
        <v>0</v>
      </c>
      <c r="R33" s="75">
        <f t="shared" si="13"/>
        <v>0.25</v>
      </c>
      <c r="S33" s="75">
        <f t="shared" si="14"/>
        <v>0.5</v>
      </c>
      <c r="T33" s="75">
        <f t="shared" si="15"/>
        <v>0.75</v>
      </c>
      <c r="U33" s="75">
        <f t="shared" si="16"/>
        <v>1.5</v>
      </c>
      <c r="V33" s="75">
        <f t="shared" si="17"/>
        <v>2.5</v>
      </c>
      <c r="W33" s="140"/>
      <c r="X33" s="75">
        <f t="shared" si="6"/>
        <v>0</v>
      </c>
      <c r="Y33" s="75">
        <f t="shared" si="7"/>
        <v>0</v>
      </c>
      <c r="Z33" s="75">
        <f t="shared" si="8"/>
        <v>0</v>
      </c>
      <c r="AA33" s="75">
        <f t="shared" si="9"/>
        <v>0</v>
      </c>
      <c r="AB33" s="75">
        <f t="shared" si="10"/>
        <v>0</v>
      </c>
      <c r="AC33" s="75">
        <f t="shared" si="11"/>
        <v>2.5</v>
      </c>
      <c r="AD33" s="75">
        <f t="shared" si="12"/>
        <v>2.5</v>
      </c>
      <c r="AE33" s="300"/>
      <c r="AF33" s="155"/>
      <c r="AG33" s="155"/>
      <c r="AH33" s="155"/>
      <c r="AI33" s="155"/>
      <c r="AJ33" s="155"/>
      <c r="AK33" s="155"/>
      <c r="AL33" s="155"/>
      <c r="AM33" s="155"/>
      <c r="AN33" s="155"/>
      <c r="AO33" s="155"/>
      <c r="AP33" s="155"/>
      <c r="AQ33" s="155"/>
      <c r="AR33" s="155"/>
      <c r="AS33" s="155"/>
      <c r="AT33" s="155"/>
      <c r="AU33" s="155"/>
      <c r="AV33" s="155"/>
      <c r="AW33" s="155"/>
      <c r="AX33" s="155"/>
      <c r="AY33" s="155"/>
      <c r="AZ33" s="155"/>
      <c r="BA33" s="155"/>
      <c r="BB33" s="155"/>
      <c r="BC33" s="155"/>
      <c r="BD33" s="155"/>
    </row>
    <row r="34" spans="1:56" s="90" customFormat="1" ht="42.75" customHeight="1" x14ac:dyDescent="0.25">
      <c r="A34" s="297"/>
      <c r="B34" s="291"/>
      <c r="C34" s="94"/>
      <c r="D34" s="95"/>
      <c r="E34" s="94"/>
      <c r="F34" s="95"/>
      <c r="G34" s="88">
        <v>30</v>
      </c>
      <c r="H34" s="87" t="s">
        <v>152</v>
      </c>
      <c r="I34" s="89"/>
      <c r="J34" s="75"/>
      <c r="K34" s="75"/>
      <c r="L34" s="75"/>
      <c r="M34" s="75"/>
      <c r="N34" s="75"/>
      <c r="O34" s="75">
        <v>1</v>
      </c>
      <c r="P34" s="143"/>
      <c r="Q34" s="75">
        <v>0</v>
      </c>
      <c r="R34" s="75">
        <f t="shared" si="13"/>
        <v>0.25</v>
      </c>
      <c r="S34" s="75">
        <f t="shared" si="14"/>
        <v>0.5</v>
      </c>
      <c r="T34" s="75">
        <f t="shared" si="15"/>
        <v>0.75</v>
      </c>
      <c r="U34" s="75">
        <f t="shared" si="16"/>
        <v>1.5</v>
      </c>
      <c r="V34" s="75">
        <f t="shared" si="17"/>
        <v>2.5</v>
      </c>
      <c r="W34" s="140"/>
      <c r="X34" s="75">
        <f t="shared" si="6"/>
        <v>0</v>
      </c>
      <c r="Y34" s="75">
        <f t="shared" si="7"/>
        <v>0</v>
      </c>
      <c r="Z34" s="75">
        <f t="shared" si="8"/>
        <v>0</v>
      </c>
      <c r="AA34" s="75">
        <f t="shared" si="9"/>
        <v>0</v>
      </c>
      <c r="AB34" s="75">
        <f t="shared" si="10"/>
        <v>0</v>
      </c>
      <c r="AC34" s="75">
        <f t="shared" si="11"/>
        <v>2.5</v>
      </c>
      <c r="AD34" s="75">
        <f t="shared" si="12"/>
        <v>2.5</v>
      </c>
      <c r="AE34" s="300"/>
      <c r="AF34" s="155"/>
      <c r="AG34" s="155"/>
      <c r="AH34" s="155"/>
      <c r="AI34" s="155"/>
      <c r="AJ34" s="155"/>
      <c r="AK34" s="155"/>
      <c r="AL34" s="155"/>
      <c r="AM34" s="155"/>
      <c r="AN34" s="155"/>
      <c r="AO34" s="155"/>
      <c r="AP34" s="155"/>
      <c r="AQ34" s="155"/>
      <c r="AR34" s="155"/>
      <c r="AS34" s="155"/>
      <c r="AT34" s="155"/>
      <c r="AU34" s="155"/>
      <c r="AV34" s="155"/>
      <c r="AW34" s="155"/>
      <c r="AX34" s="155"/>
      <c r="AY34" s="155"/>
      <c r="AZ34" s="155"/>
      <c r="BA34" s="155"/>
      <c r="BB34" s="155"/>
      <c r="BC34" s="155"/>
      <c r="BD34" s="155"/>
    </row>
    <row r="35" spans="1:56" s="90" customFormat="1" ht="150.75" customHeight="1" x14ac:dyDescent="0.25">
      <c r="A35" s="297"/>
      <c r="B35" s="291"/>
      <c r="C35" s="94"/>
      <c r="D35" s="95"/>
      <c r="E35" s="94"/>
      <c r="F35" s="95"/>
      <c r="G35" s="88">
        <v>31</v>
      </c>
      <c r="H35" s="87" t="s">
        <v>153</v>
      </c>
      <c r="I35" s="89"/>
      <c r="J35" s="75"/>
      <c r="K35" s="75"/>
      <c r="L35" s="75"/>
      <c r="M35" s="75"/>
      <c r="N35" s="75"/>
      <c r="O35" s="75">
        <v>1</v>
      </c>
      <c r="P35" s="142"/>
      <c r="Q35" s="75">
        <v>0</v>
      </c>
      <c r="R35" s="75">
        <f t="shared" si="13"/>
        <v>0.25</v>
      </c>
      <c r="S35" s="75">
        <f t="shared" si="14"/>
        <v>0.5</v>
      </c>
      <c r="T35" s="75">
        <f t="shared" si="15"/>
        <v>0.75</v>
      </c>
      <c r="U35" s="75">
        <f t="shared" si="16"/>
        <v>1.5</v>
      </c>
      <c r="V35" s="75">
        <f t="shared" si="17"/>
        <v>2.5</v>
      </c>
      <c r="W35" s="140"/>
      <c r="X35" s="75">
        <f t="shared" si="6"/>
        <v>0</v>
      </c>
      <c r="Y35" s="75">
        <f t="shared" si="7"/>
        <v>0</v>
      </c>
      <c r="Z35" s="75">
        <f t="shared" si="8"/>
        <v>0</v>
      </c>
      <c r="AA35" s="75">
        <f t="shared" si="9"/>
        <v>0</v>
      </c>
      <c r="AB35" s="75">
        <f t="shared" si="10"/>
        <v>0</v>
      </c>
      <c r="AC35" s="75">
        <f t="shared" si="11"/>
        <v>2.5</v>
      </c>
      <c r="AD35" s="75">
        <f t="shared" si="12"/>
        <v>2.5</v>
      </c>
      <c r="AE35" s="300"/>
      <c r="AF35" s="155"/>
      <c r="AG35" s="155"/>
      <c r="AH35" s="155"/>
      <c r="AI35" s="155"/>
      <c r="AJ35" s="155"/>
      <c r="AK35" s="155"/>
      <c r="AL35" s="155"/>
      <c r="AM35" s="155"/>
      <c r="AN35" s="155"/>
      <c r="AO35" s="155"/>
      <c r="AP35" s="155"/>
      <c r="AQ35" s="155"/>
      <c r="AR35" s="155"/>
      <c r="AS35" s="155"/>
      <c r="AT35" s="155"/>
      <c r="AU35" s="155"/>
      <c r="AV35" s="155"/>
      <c r="AW35" s="155"/>
      <c r="AX35" s="155"/>
      <c r="AY35" s="155"/>
      <c r="AZ35" s="155"/>
      <c r="BA35" s="155"/>
      <c r="BB35" s="155"/>
      <c r="BC35" s="155"/>
      <c r="BD35" s="155"/>
    </row>
    <row r="36" spans="1:56" s="90" customFormat="1" ht="53.25" customHeight="1" x14ac:dyDescent="0.25">
      <c r="A36" s="297"/>
      <c r="B36" s="291"/>
      <c r="C36" s="94"/>
      <c r="D36" s="95"/>
      <c r="E36" s="96"/>
      <c r="F36" s="92"/>
      <c r="G36" s="88">
        <v>32</v>
      </c>
      <c r="H36" s="87" t="s">
        <v>154</v>
      </c>
      <c r="I36" s="89"/>
      <c r="J36" s="75"/>
      <c r="K36" s="75"/>
      <c r="L36" s="75"/>
      <c r="M36" s="75"/>
      <c r="N36" s="75"/>
      <c r="O36" s="75">
        <v>1</v>
      </c>
      <c r="P36" s="143"/>
      <c r="Q36" s="75">
        <v>0</v>
      </c>
      <c r="R36" s="75">
        <f t="shared" si="13"/>
        <v>0.25</v>
      </c>
      <c r="S36" s="75">
        <f t="shared" si="14"/>
        <v>0.5</v>
      </c>
      <c r="T36" s="75">
        <f t="shared" si="15"/>
        <v>0.75</v>
      </c>
      <c r="U36" s="75">
        <f t="shared" si="16"/>
        <v>1.5</v>
      </c>
      <c r="V36" s="75">
        <f t="shared" si="17"/>
        <v>2.5</v>
      </c>
      <c r="W36" s="140"/>
      <c r="X36" s="75">
        <f t="shared" si="6"/>
        <v>0</v>
      </c>
      <c r="Y36" s="75">
        <f t="shared" si="7"/>
        <v>0</v>
      </c>
      <c r="Z36" s="75">
        <f t="shared" si="8"/>
        <v>0</v>
      </c>
      <c r="AA36" s="75">
        <f t="shared" si="9"/>
        <v>0</v>
      </c>
      <c r="AB36" s="75">
        <f t="shared" si="10"/>
        <v>0</v>
      </c>
      <c r="AC36" s="75">
        <f t="shared" si="11"/>
        <v>2.5</v>
      </c>
      <c r="AD36" s="75">
        <f t="shared" si="12"/>
        <v>2.5</v>
      </c>
      <c r="AE36" s="300"/>
      <c r="AF36" s="155"/>
      <c r="AG36" s="155"/>
      <c r="AH36" s="155"/>
      <c r="AI36" s="155"/>
      <c r="AJ36" s="155"/>
      <c r="AK36" s="155"/>
      <c r="AL36" s="155"/>
      <c r="AM36" s="155"/>
      <c r="AN36" s="155"/>
      <c r="AO36" s="155"/>
      <c r="AP36" s="155"/>
      <c r="AQ36" s="155"/>
      <c r="AR36" s="155"/>
      <c r="AS36" s="155"/>
      <c r="AT36" s="155"/>
      <c r="AU36" s="155"/>
      <c r="AV36" s="155"/>
      <c r="AW36" s="155"/>
      <c r="AX36" s="155"/>
      <c r="AY36" s="155"/>
      <c r="AZ36" s="155"/>
      <c r="BA36" s="155"/>
      <c r="BB36" s="155"/>
      <c r="BC36" s="155"/>
      <c r="BD36" s="155"/>
    </row>
    <row r="37" spans="1:56" s="90" customFormat="1" ht="45.75" customHeight="1" x14ac:dyDescent="0.25">
      <c r="A37" s="297"/>
      <c r="B37" s="291"/>
      <c r="C37" s="94"/>
      <c r="D37" s="95"/>
      <c r="E37" s="93"/>
      <c r="F37" s="91" t="s">
        <v>156</v>
      </c>
      <c r="G37" s="88">
        <v>33</v>
      </c>
      <c r="H37" s="87" t="s">
        <v>157</v>
      </c>
      <c r="I37" s="89"/>
      <c r="J37" s="75"/>
      <c r="K37" s="75"/>
      <c r="L37" s="75"/>
      <c r="M37" s="75"/>
      <c r="N37" s="75"/>
      <c r="O37" s="75">
        <v>1</v>
      </c>
      <c r="P37" s="142"/>
      <c r="Q37" s="75">
        <v>0</v>
      </c>
      <c r="R37" s="75">
        <f t="shared" si="13"/>
        <v>0.25</v>
      </c>
      <c r="S37" s="75">
        <f t="shared" si="14"/>
        <v>0.5</v>
      </c>
      <c r="T37" s="75">
        <f t="shared" si="15"/>
        <v>0.75</v>
      </c>
      <c r="U37" s="75">
        <f t="shared" si="16"/>
        <v>1.5</v>
      </c>
      <c r="V37" s="75">
        <f t="shared" si="17"/>
        <v>2.5</v>
      </c>
      <c r="W37" s="140"/>
      <c r="X37" s="75">
        <f t="shared" si="6"/>
        <v>0</v>
      </c>
      <c r="Y37" s="75">
        <f t="shared" si="7"/>
        <v>0</v>
      </c>
      <c r="Z37" s="75">
        <f t="shared" si="8"/>
        <v>0</v>
      </c>
      <c r="AA37" s="75">
        <f t="shared" si="9"/>
        <v>0</v>
      </c>
      <c r="AB37" s="75">
        <f t="shared" si="10"/>
        <v>0</v>
      </c>
      <c r="AC37" s="75">
        <f t="shared" si="11"/>
        <v>2.5</v>
      </c>
      <c r="AD37" s="75">
        <f t="shared" si="12"/>
        <v>2.5</v>
      </c>
      <c r="AE37" s="300"/>
      <c r="AF37" s="155"/>
      <c r="AG37" s="155"/>
      <c r="AH37" s="155"/>
      <c r="AI37" s="155"/>
      <c r="AJ37" s="155"/>
      <c r="AK37" s="155"/>
      <c r="AL37" s="155"/>
      <c r="AM37" s="155"/>
      <c r="AN37" s="155"/>
      <c r="AO37" s="155"/>
      <c r="AP37" s="155"/>
      <c r="AQ37" s="155"/>
      <c r="AR37" s="155"/>
      <c r="AS37" s="155"/>
      <c r="AT37" s="155"/>
      <c r="AU37" s="155"/>
      <c r="AV37" s="155"/>
      <c r="AW37" s="155"/>
      <c r="AX37" s="155"/>
      <c r="AY37" s="155"/>
      <c r="AZ37" s="155"/>
      <c r="BA37" s="155"/>
      <c r="BB37" s="155"/>
      <c r="BC37" s="155"/>
      <c r="BD37" s="155"/>
    </row>
    <row r="38" spans="1:56" s="90" customFormat="1" ht="45" customHeight="1" x14ac:dyDescent="0.25">
      <c r="A38" s="297"/>
      <c r="B38" s="291"/>
      <c r="C38" s="94"/>
      <c r="D38" s="95"/>
      <c r="E38" s="94"/>
      <c r="F38" s="95"/>
      <c r="G38" s="88">
        <v>34</v>
      </c>
      <c r="H38" s="87" t="s">
        <v>158</v>
      </c>
      <c r="I38" s="89"/>
      <c r="J38" s="75"/>
      <c r="K38" s="75"/>
      <c r="L38" s="75"/>
      <c r="M38" s="75"/>
      <c r="N38" s="75"/>
      <c r="O38" s="75">
        <v>1</v>
      </c>
      <c r="P38" s="143"/>
      <c r="Q38" s="75">
        <v>0</v>
      </c>
      <c r="R38" s="75">
        <f t="shared" si="13"/>
        <v>0.25</v>
      </c>
      <c r="S38" s="75">
        <f t="shared" si="14"/>
        <v>0.5</v>
      </c>
      <c r="T38" s="75">
        <f t="shared" si="15"/>
        <v>0.75</v>
      </c>
      <c r="U38" s="75">
        <f t="shared" si="16"/>
        <v>1.5</v>
      </c>
      <c r="V38" s="75">
        <f t="shared" si="17"/>
        <v>2.5</v>
      </c>
      <c r="W38" s="140"/>
      <c r="X38" s="75">
        <f t="shared" si="6"/>
        <v>0</v>
      </c>
      <c r="Y38" s="75">
        <f t="shared" si="7"/>
        <v>0</v>
      </c>
      <c r="Z38" s="75">
        <f t="shared" si="8"/>
        <v>0</v>
      </c>
      <c r="AA38" s="75">
        <f t="shared" si="9"/>
        <v>0</v>
      </c>
      <c r="AB38" s="75">
        <f t="shared" si="10"/>
        <v>0</v>
      </c>
      <c r="AC38" s="75">
        <f t="shared" si="11"/>
        <v>2.5</v>
      </c>
      <c r="AD38" s="75">
        <f t="shared" si="12"/>
        <v>2.5</v>
      </c>
      <c r="AE38" s="300"/>
      <c r="AF38" s="155"/>
      <c r="AG38" s="155"/>
      <c r="AH38" s="155"/>
      <c r="AI38" s="155"/>
      <c r="AJ38" s="155"/>
      <c r="AK38" s="155"/>
      <c r="AL38" s="155"/>
      <c r="AM38" s="155"/>
      <c r="AN38" s="155"/>
      <c r="AO38" s="155"/>
      <c r="AP38" s="155"/>
      <c r="AQ38" s="155"/>
      <c r="AR38" s="155"/>
      <c r="AS38" s="155"/>
      <c r="AT38" s="155"/>
      <c r="AU38" s="155"/>
      <c r="AV38" s="155"/>
      <c r="AW38" s="155"/>
      <c r="AX38" s="155"/>
      <c r="AY38" s="155"/>
      <c r="AZ38" s="155"/>
      <c r="BA38" s="155"/>
      <c r="BB38" s="155"/>
      <c r="BC38" s="155"/>
      <c r="BD38" s="155"/>
    </row>
    <row r="39" spans="1:56" s="90" customFormat="1" ht="39.75" customHeight="1" x14ac:dyDescent="0.25">
      <c r="A39" s="297"/>
      <c r="B39" s="291"/>
      <c r="C39" s="96"/>
      <c r="D39" s="92"/>
      <c r="E39" s="96"/>
      <c r="F39" s="92"/>
      <c r="G39" s="88">
        <v>35</v>
      </c>
      <c r="H39" s="87" t="s">
        <v>159</v>
      </c>
      <c r="I39" s="89"/>
      <c r="J39" s="75"/>
      <c r="K39" s="75"/>
      <c r="L39" s="75"/>
      <c r="M39" s="75"/>
      <c r="N39" s="75"/>
      <c r="O39" s="75">
        <v>1</v>
      </c>
      <c r="P39" s="142"/>
      <c r="Q39" s="75">
        <v>0</v>
      </c>
      <c r="R39" s="75">
        <f t="shared" si="13"/>
        <v>0.25</v>
      </c>
      <c r="S39" s="75">
        <f t="shared" si="14"/>
        <v>0.5</v>
      </c>
      <c r="T39" s="75">
        <f t="shared" si="15"/>
        <v>0.75</v>
      </c>
      <c r="U39" s="75">
        <f t="shared" si="16"/>
        <v>1.5</v>
      </c>
      <c r="V39" s="75">
        <f t="shared" si="17"/>
        <v>2.5</v>
      </c>
      <c r="W39" s="140"/>
      <c r="X39" s="75">
        <f t="shared" si="6"/>
        <v>0</v>
      </c>
      <c r="Y39" s="75">
        <f t="shared" si="7"/>
        <v>0</v>
      </c>
      <c r="Z39" s="75">
        <f t="shared" si="8"/>
        <v>0</v>
      </c>
      <c r="AA39" s="75">
        <f t="shared" si="9"/>
        <v>0</v>
      </c>
      <c r="AB39" s="75">
        <f t="shared" si="10"/>
        <v>0</v>
      </c>
      <c r="AC39" s="75">
        <f t="shared" si="11"/>
        <v>2.5</v>
      </c>
      <c r="AD39" s="75">
        <f t="shared" si="12"/>
        <v>2.5</v>
      </c>
      <c r="AE39" s="300"/>
      <c r="AF39" s="155"/>
      <c r="AG39" s="155"/>
      <c r="AH39" s="155"/>
      <c r="AI39" s="155"/>
      <c r="AJ39" s="155"/>
      <c r="AK39" s="155"/>
      <c r="AL39" s="155"/>
      <c r="AM39" s="155"/>
      <c r="AN39" s="155"/>
      <c r="AO39" s="155"/>
      <c r="AP39" s="155"/>
      <c r="AQ39" s="155"/>
      <c r="AR39" s="155"/>
      <c r="AS39" s="155"/>
      <c r="AT39" s="155"/>
      <c r="AU39" s="155"/>
      <c r="AV39" s="155"/>
      <c r="AW39" s="155"/>
      <c r="AX39" s="155"/>
      <c r="AY39" s="155"/>
      <c r="AZ39" s="155"/>
      <c r="BA39" s="155"/>
      <c r="BB39" s="155"/>
      <c r="BC39" s="155"/>
      <c r="BD39" s="155"/>
    </row>
    <row r="40" spans="1:56" s="90" customFormat="1" ht="100.5" customHeight="1" x14ac:dyDescent="0.25">
      <c r="A40" s="297"/>
      <c r="B40" s="291"/>
      <c r="C40" s="93"/>
      <c r="D40" s="91" t="s">
        <v>6</v>
      </c>
      <c r="E40" s="93"/>
      <c r="F40" s="91" t="s">
        <v>160</v>
      </c>
      <c r="G40" s="88">
        <v>36</v>
      </c>
      <c r="H40" s="87" t="s">
        <v>161</v>
      </c>
      <c r="I40" s="89" t="s">
        <v>324</v>
      </c>
      <c r="J40" s="75"/>
      <c r="K40" s="75"/>
      <c r="L40" s="75"/>
      <c r="M40" s="75"/>
      <c r="N40" s="75"/>
      <c r="O40" s="75">
        <v>1</v>
      </c>
      <c r="P40" s="143"/>
      <c r="Q40" s="75">
        <v>0</v>
      </c>
      <c r="R40" s="75">
        <f t="shared" si="13"/>
        <v>0.25</v>
      </c>
      <c r="S40" s="75">
        <f t="shared" si="14"/>
        <v>0.5</v>
      </c>
      <c r="T40" s="75">
        <f t="shared" si="15"/>
        <v>0.75</v>
      </c>
      <c r="U40" s="75">
        <f t="shared" si="16"/>
        <v>1.5</v>
      </c>
      <c r="V40" s="75">
        <f t="shared" si="17"/>
        <v>2.5</v>
      </c>
      <c r="W40" s="140"/>
      <c r="X40" s="75">
        <f t="shared" si="6"/>
        <v>0</v>
      </c>
      <c r="Y40" s="75">
        <f t="shared" si="7"/>
        <v>0</v>
      </c>
      <c r="Z40" s="75">
        <f t="shared" si="8"/>
        <v>0</v>
      </c>
      <c r="AA40" s="75">
        <f t="shared" si="9"/>
        <v>0</v>
      </c>
      <c r="AB40" s="75">
        <f t="shared" si="10"/>
        <v>0</v>
      </c>
      <c r="AC40" s="75">
        <f t="shared" si="11"/>
        <v>2.5</v>
      </c>
      <c r="AD40" s="75">
        <f t="shared" si="12"/>
        <v>2.5</v>
      </c>
      <c r="AE40" s="300"/>
      <c r="AF40" s="155"/>
      <c r="AG40" s="155"/>
      <c r="AH40" s="155"/>
      <c r="AI40" s="155"/>
      <c r="AJ40" s="155"/>
      <c r="AK40" s="155"/>
      <c r="AL40" s="155"/>
      <c r="AM40" s="155"/>
      <c r="AN40" s="155"/>
      <c r="AO40" s="155"/>
      <c r="AP40" s="155"/>
      <c r="AQ40" s="155"/>
      <c r="AR40" s="155"/>
      <c r="AS40" s="155"/>
      <c r="AT40" s="155"/>
      <c r="AU40" s="155"/>
      <c r="AV40" s="155"/>
      <c r="AW40" s="155"/>
      <c r="AX40" s="155"/>
      <c r="AY40" s="155"/>
      <c r="AZ40" s="155"/>
      <c r="BA40" s="155"/>
      <c r="BB40" s="155"/>
      <c r="BC40" s="155"/>
      <c r="BD40" s="155"/>
    </row>
    <row r="41" spans="1:56" s="90" customFormat="1" ht="149.25" customHeight="1" x14ac:dyDescent="0.25">
      <c r="A41" s="297"/>
      <c r="B41" s="291"/>
      <c r="C41" s="96"/>
      <c r="D41" s="92"/>
      <c r="E41" s="96"/>
      <c r="F41" s="92"/>
      <c r="G41" s="88">
        <v>37</v>
      </c>
      <c r="H41" s="87" t="s">
        <v>162</v>
      </c>
      <c r="I41" s="89"/>
      <c r="J41" s="75"/>
      <c r="K41" s="75"/>
      <c r="L41" s="75"/>
      <c r="M41" s="75"/>
      <c r="N41" s="75"/>
      <c r="O41" s="75">
        <v>1</v>
      </c>
      <c r="P41" s="142"/>
      <c r="Q41" s="75">
        <v>0</v>
      </c>
      <c r="R41" s="75">
        <f t="shared" si="13"/>
        <v>0.25</v>
      </c>
      <c r="S41" s="75">
        <f t="shared" si="14"/>
        <v>0.5</v>
      </c>
      <c r="T41" s="75">
        <f t="shared" si="15"/>
        <v>0.75</v>
      </c>
      <c r="U41" s="75">
        <f t="shared" si="16"/>
        <v>1.5</v>
      </c>
      <c r="V41" s="75">
        <f t="shared" si="17"/>
        <v>2.5</v>
      </c>
      <c r="W41" s="140"/>
      <c r="X41" s="75">
        <f t="shared" si="6"/>
        <v>0</v>
      </c>
      <c r="Y41" s="75">
        <f t="shared" si="7"/>
        <v>0</v>
      </c>
      <c r="Z41" s="75">
        <f t="shared" si="8"/>
        <v>0</v>
      </c>
      <c r="AA41" s="75">
        <f t="shared" si="9"/>
        <v>0</v>
      </c>
      <c r="AB41" s="75">
        <f t="shared" si="10"/>
        <v>0</v>
      </c>
      <c r="AC41" s="75">
        <f t="shared" si="11"/>
        <v>2.5</v>
      </c>
      <c r="AD41" s="75">
        <f t="shared" si="12"/>
        <v>2.5</v>
      </c>
      <c r="AE41" s="300"/>
      <c r="AF41" s="155"/>
      <c r="AG41" s="155"/>
      <c r="AH41" s="155"/>
      <c r="AI41" s="155"/>
      <c r="AJ41" s="155"/>
      <c r="AK41" s="155"/>
      <c r="AL41" s="155"/>
      <c r="AM41" s="155"/>
      <c r="AN41" s="155"/>
      <c r="AO41" s="155"/>
      <c r="AP41" s="155"/>
      <c r="AQ41" s="155"/>
      <c r="AR41" s="155"/>
      <c r="AS41" s="155"/>
      <c r="AT41" s="155"/>
      <c r="AU41" s="155"/>
      <c r="AV41" s="155"/>
      <c r="AW41" s="155"/>
      <c r="AX41" s="155"/>
      <c r="AY41" s="155"/>
      <c r="AZ41" s="155"/>
      <c r="BA41" s="155"/>
      <c r="BB41" s="155"/>
      <c r="BC41" s="155"/>
      <c r="BD41" s="155"/>
    </row>
    <row r="42" spans="1:56" s="90" customFormat="1" ht="149.25" customHeight="1" x14ac:dyDescent="0.25">
      <c r="A42" s="298"/>
      <c r="B42" s="292"/>
      <c r="C42" s="94"/>
      <c r="D42" s="95" t="s">
        <v>371</v>
      </c>
      <c r="E42" s="94"/>
      <c r="F42" s="97" t="s">
        <v>372</v>
      </c>
      <c r="G42" s="88">
        <v>38</v>
      </c>
      <c r="H42" s="87" t="s">
        <v>373</v>
      </c>
      <c r="I42" s="98"/>
      <c r="J42" s="75"/>
      <c r="K42" s="75"/>
      <c r="L42" s="75"/>
      <c r="M42" s="75"/>
      <c r="N42" s="75"/>
      <c r="O42" s="75">
        <v>1</v>
      </c>
      <c r="P42" s="144"/>
      <c r="Q42" s="75">
        <v>0</v>
      </c>
      <c r="R42" s="75">
        <f t="shared" si="13"/>
        <v>0.25</v>
      </c>
      <c r="S42" s="75">
        <f t="shared" si="14"/>
        <v>0.5</v>
      </c>
      <c r="T42" s="75">
        <f t="shared" si="15"/>
        <v>0.75</v>
      </c>
      <c r="U42" s="75">
        <f t="shared" si="16"/>
        <v>1.5</v>
      </c>
      <c r="V42" s="75">
        <f t="shared" si="17"/>
        <v>2.5</v>
      </c>
      <c r="W42" s="140"/>
      <c r="X42" s="75">
        <f t="shared" si="6"/>
        <v>0</v>
      </c>
      <c r="Y42" s="75">
        <f t="shared" si="7"/>
        <v>0</v>
      </c>
      <c r="Z42" s="75">
        <f t="shared" si="8"/>
        <v>0</v>
      </c>
      <c r="AA42" s="75">
        <f t="shared" si="9"/>
        <v>0</v>
      </c>
      <c r="AB42" s="75">
        <f t="shared" si="10"/>
        <v>0</v>
      </c>
      <c r="AC42" s="75">
        <f t="shared" si="11"/>
        <v>2.5</v>
      </c>
      <c r="AD42" s="75">
        <f t="shared" si="12"/>
        <v>2.5</v>
      </c>
      <c r="AE42" s="301"/>
      <c r="AF42" s="155"/>
      <c r="AG42" s="155"/>
      <c r="AH42" s="155"/>
      <c r="AI42" s="155"/>
      <c r="AJ42" s="155"/>
      <c r="AK42" s="155"/>
      <c r="AL42" s="155"/>
      <c r="AM42" s="155"/>
      <c r="AN42" s="155"/>
      <c r="AO42" s="155"/>
      <c r="AP42" s="155"/>
      <c r="AQ42" s="155"/>
      <c r="AR42" s="155"/>
      <c r="AS42" s="155"/>
      <c r="AT42" s="155"/>
      <c r="AU42" s="155"/>
      <c r="AV42" s="155"/>
      <c r="AW42" s="155"/>
      <c r="AX42" s="155"/>
      <c r="AY42" s="155"/>
      <c r="AZ42" s="155"/>
      <c r="BA42" s="155"/>
      <c r="BB42" s="155"/>
      <c r="BC42" s="155"/>
      <c r="BD42" s="155"/>
    </row>
    <row r="43" spans="1:56" s="90" customFormat="1" ht="201.75" customHeight="1" x14ac:dyDescent="0.25">
      <c r="A43" s="293">
        <v>2</v>
      </c>
      <c r="B43" s="287" t="s">
        <v>24</v>
      </c>
      <c r="C43" s="93"/>
      <c r="D43" s="99" t="s">
        <v>29</v>
      </c>
      <c r="E43" s="93"/>
      <c r="F43" s="99" t="s">
        <v>163</v>
      </c>
      <c r="G43" s="88">
        <v>1</v>
      </c>
      <c r="H43" s="87" t="s">
        <v>164</v>
      </c>
      <c r="I43" s="100" t="s">
        <v>284</v>
      </c>
      <c r="J43" s="75"/>
      <c r="K43" s="75"/>
      <c r="L43" s="75"/>
      <c r="M43" s="75"/>
      <c r="N43" s="75"/>
      <c r="O43" s="75">
        <v>1</v>
      </c>
      <c r="P43" s="143"/>
      <c r="Q43" s="75">
        <v>0</v>
      </c>
      <c r="R43" s="75">
        <f>12*0.1</f>
        <v>1.2000000000000002</v>
      </c>
      <c r="S43" s="75">
        <f>12*0.2</f>
        <v>2.4000000000000004</v>
      </c>
      <c r="T43" s="75">
        <f>12*0.3</f>
        <v>3.5999999999999996</v>
      </c>
      <c r="U43" s="75">
        <f>12*0.6</f>
        <v>7.1999999999999993</v>
      </c>
      <c r="V43" s="75">
        <f>12*1</f>
        <v>12</v>
      </c>
      <c r="W43" s="140"/>
      <c r="X43" s="75">
        <f t="shared" si="6"/>
        <v>0</v>
      </c>
      <c r="Y43" s="75">
        <f t="shared" si="7"/>
        <v>0</v>
      </c>
      <c r="Z43" s="75">
        <f t="shared" si="8"/>
        <v>0</v>
      </c>
      <c r="AA43" s="75">
        <f t="shared" si="9"/>
        <v>0</v>
      </c>
      <c r="AB43" s="75">
        <f t="shared" si="10"/>
        <v>0</v>
      </c>
      <c r="AC43" s="75">
        <f t="shared" si="11"/>
        <v>12</v>
      </c>
      <c r="AD43" s="75">
        <f t="shared" si="12"/>
        <v>12</v>
      </c>
      <c r="AE43" s="299">
        <f>+SUM(AD43:AD54)</f>
        <v>140</v>
      </c>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row>
    <row r="44" spans="1:56" s="90" customFormat="1" ht="99.75" customHeight="1" x14ac:dyDescent="0.25">
      <c r="A44" s="294"/>
      <c r="B44" s="288"/>
      <c r="C44" s="94"/>
      <c r="D44" s="101"/>
      <c r="E44" s="94"/>
      <c r="F44" s="101"/>
      <c r="G44" s="88">
        <v>2</v>
      </c>
      <c r="H44" s="87" t="s">
        <v>165</v>
      </c>
      <c r="I44" s="102"/>
      <c r="J44" s="75"/>
      <c r="K44" s="75"/>
      <c r="L44" s="75"/>
      <c r="M44" s="75"/>
      <c r="N44" s="75"/>
      <c r="O44" s="75">
        <v>1</v>
      </c>
      <c r="P44" s="142"/>
      <c r="Q44" s="75">
        <v>0</v>
      </c>
      <c r="R44" s="75">
        <f>11*0.1</f>
        <v>1.1000000000000001</v>
      </c>
      <c r="S44" s="75">
        <f>11*0.2</f>
        <v>2.2000000000000002</v>
      </c>
      <c r="T44" s="75">
        <f>11*0.3</f>
        <v>3.3</v>
      </c>
      <c r="U44" s="75">
        <f>11*0.6</f>
        <v>6.6</v>
      </c>
      <c r="V44" s="75">
        <f>11*1</f>
        <v>11</v>
      </c>
      <c r="W44" s="140"/>
      <c r="X44" s="75">
        <f t="shared" si="6"/>
        <v>0</v>
      </c>
      <c r="Y44" s="75">
        <f t="shared" si="7"/>
        <v>0</v>
      </c>
      <c r="Z44" s="75">
        <f t="shared" si="8"/>
        <v>0</v>
      </c>
      <c r="AA44" s="75">
        <f t="shared" si="9"/>
        <v>0</v>
      </c>
      <c r="AB44" s="75">
        <f t="shared" si="10"/>
        <v>0</v>
      </c>
      <c r="AC44" s="75">
        <f t="shared" si="11"/>
        <v>11</v>
      </c>
      <c r="AD44" s="75">
        <f t="shared" si="12"/>
        <v>11</v>
      </c>
      <c r="AE44" s="300"/>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row>
    <row r="45" spans="1:56" s="90" customFormat="1" ht="85.5" customHeight="1" x14ac:dyDescent="0.25">
      <c r="A45" s="294"/>
      <c r="B45" s="288"/>
      <c r="C45" s="94"/>
      <c r="D45" s="101"/>
      <c r="E45" s="94"/>
      <c r="F45" s="101"/>
      <c r="G45" s="88">
        <v>3</v>
      </c>
      <c r="H45" s="87" t="s">
        <v>166</v>
      </c>
      <c r="I45" s="102"/>
      <c r="J45" s="75"/>
      <c r="K45" s="75"/>
      <c r="L45" s="75"/>
      <c r="M45" s="75"/>
      <c r="N45" s="75"/>
      <c r="O45" s="75">
        <v>1</v>
      </c>
      <c r="P45" s="143"/>
      <c r="Q45" s="75">
        <v>0</v>
      </c>
      <c r="R45" s="75">
        <f>11*0.1</f>
        <v>1.1000000000000001</v>
      </c>
      <c r="S45" s="75">
        <f>11*0.2</f>
        <v>2.2000000000000002</v>
      </c>
      <c r="T45" s="75">
        <f>11*0.3</f>
        <v>3.3</v>
      </c>
      <c r="U45" s="75">
        <f>11*0.6</f>
        <v>6.6</v>
      </c>
      <c r="V45" s="75">
        <f>11*1</f>
        <v>11</v>
      </c>
      <c r="W45" s="140"/>
      <c r="X45" s="75">
        <f t="shared" si="6"/>
        <v>0</v>
      </c>
      <c r="Y45" s="75">
        <f t="shared" si="7"/>
        <v>0</v>
      </c>
      <c r="Z45" s="75">
        <f t="shared" si="8"/>
        <v>0</v>
      </c>
      <c r="AA45" s="75">
        <f t="shared" si="9"/>
        <v>0</v>
      </c>
      <c r="AB45" s="75">
        <f t="shared" si="10"/>
        <v>0</v>
      </c>
      <c r="AC45" s="75">
        <f t="shared" si="11"/>
        <v>11</v>
      </c>
      <c r="AD45" s="75">
        <f t="shared" si="12"/>
        <v>11</v>
      </c>
      <c r="AE45" s="300"/>
      <c r="AF45" s="155"/>
      <c r="AG45" s="155"/>
      <c r="AH45" s="155"/>
      <c r="AI45" s="155"/>
      <c r="AJ45" s="155"/>
      <c r="AK45" s="155"/>
      <c r="AL45" s="155"/>
      <c r="AM45" s="155"/>
      <c r="AN45" s="155"/>
      <c r="AO45" s="155"/>
      <c r="AP45" s="155"/>
      <c r="AQ45" s="155"/>
      <c r="AR45" s="155"/>
      <c r="AS45" s="155"/>
      <c r="AT45" s="155"/>
      <c r="AU45" s="155"/>
      <c r="AV45" s="155"/>
      <c r="AW45" s="155"/>
      <c r="AX45" s="155"/>
      <c r="AY45" s="155"/>
      <c r="AZ45" s="155"/>
      <c r="BA45" s="155"/>
      <c r="BB45" s="155"/>
      <c r="BC45" s="155"/>
      <c r="BD45" s="155"/>
    </row>
    <row r="46" spans="1:56" s="90" customFormat="1" ht="85.5" customHeight="1" x14ac:dyDescent="0.25">
      <c r="A46" s="294"/>
      <c r="B46" s="288"/>
      <c r="C46" s="96"/>
      <c r="D46" s="103"/>
      <c r="E46" s="96"/>
      <c r="F46" s="103"/>
      <c r="G46" s="88">
        <v>4</v>
      </c>
      <c r="H46" s="87" t="s">
        <v>167</v>
      </c>
      <c r="I46" s="104"/>
      <c r="J46" s="75"/>
      <c r="K46" s="75"/>
      <c r="L46" s="75"/>
      <c r="M46" s="75"/>
      <c r="N46" s="75"/>
      <c r="O46" s="75">
        <v>1</v>
      </c>
      <c r="P46" s="142"/>
      <c r="Q46" s="75">
        <v>0</v>
      </c>
      <c r="R46" s="75">
        <f>11*0.1</f>
        <v>1.1000000000000001</v>
      </c>
      <c r="S46" s="75">
        <f>11*0.2</f>
        <v>2.2000000000000002</v>
      </c>
      <c r="T46" s="75">
        <f>11*0.3</f>
        <v>3.3</v>
      </c>
      <c r="U46" s="75">
        <f>11*0.6</f>
        <v>6.6</v>
      </c>
      <c r="V46" s="75">
        <f>11*1</f>
        <v>11</v>
      </c>
      <c r="W46" s="140"/>
      <c r="X46" s="75">
        <f t="shared" si="6"/>
        <v>0</v>
      </c>
      <c r="Y46" s="75">
        <f t="shared" si="7"/>
        <v>0</v>
      </c>
      <c r="Z46" s="75">
        <f t="shared" si="8"/>
        <v>0</v>
      </c>
      <c r="AA46" s="75">
        <f t="shared" si="9"/>
        <v>0</v>
      </c>
      <c r="AB46" s="75">
        <f t="shared" si="10"/>
        <v>0</v>
      </c>
      <c r="AC46" s="75">
        <f t="shared" si="11"/>
        <v>11</v>
      </c>
      <c r="AD46" s="75">
        <f t="shared" si="12"/>
        <v>11</v>
      </c>
      <c r="AE46" s="300"/>
      <c r="AF46" s="155"/>
      <c r="AG46" s="155"/>
      <c r="AH46" s="155"/>
      <c r="AI46" s="155"/>
      <c r="AJ46" s="155"/>
      <c r="AK46" s="155"/>
      <c r="AL46" s="155"/>
      <c r="AM46" s="155"/>
      <c r="AN46" s="155"/>
      <c r="AO46" s="155"/>
      <c r="AP46" s="155"/>
      <c r="AQ46" s="155"/>
      <c r="AR46" s="155"/>
      <c r="AS46" s="155"/>
      <c r="AT46" s="155"/>
      <c r="AU46" s="155"/>
      <c r="AV46" s="155"/>
      <c r="AW46" s="155"/>
      <c r="AX46" s="155"/>
      <c r="AY46" s="155"/>
      <c r="AZ46" s="155"/>
      <c r="BA46" s="155"/>
      <c r="BB46" s="155"/>
      <c r="BC46" s="155"/>
      <c r="BD46" s="155"/>
    </row>
    <row r="47" spans="1:56" s="90" customFormat="1" ht="230.25" customHeight="1" x14ac:dyDescent="0.25">
      <c r="A47" s="294"/>
      <c r="B47" s="288"/>
      <c r="C47" s="93"/>
      <c r="D47" s="91" t="s">
        <v>30</v>
      </c>
      <c r="E47" s="93"/>
      <c r="F47" s="91" t="s">
        <v>168</v>
      </c>
      <c r="G47" s="88">
        <v>5</v>
      </c>
      <c r="H47" s="87" t="s">
        <v>169</v>
      </c>
      <c r="I47" s="89" t="s">
        <v>284</v>
      </c>
      <c r="J47" s="75"/>
      <c r="K47" s="75"/>
      <c r="L47" s="75"/>
      <c r="M47" s="75"/>
      <c r="N47" s="75"/>
      <c r="O47" s="75">
        <v>1</v>
      </c>
      <c r="P47" s="143"/>
      <c r="Q47" s="75">
        <v>0</v>
      </c>
      <c r="R47" s="75">
        <f>11*0.1</f>
        <v>1.1000000000000001</v>
      </c>
      <c r="S47" s="75">
        <f>11*0.2</f>
        <v>2.2000000000000002</v>
      </c>
      <c r="T47" s="75">
        <f>11*0.3</f>
        <v>3.3</v>
      </c>
      <c r="U47" s="75">
        <f>11*0.6</f>
        <v>6.6</v>
      </c>
      <c r="V47" s="75">
        <f>11*1</f>
        <v>11</v>
      </c>
      <c r="W47" s="140"/>
      <c r="X47" s="75">
        <f t="shared" si="6"/>
        <v>0</v>
      </c>
      <c r="Y47" s="75">
        <f t="shared" si="7"/>
        <v>0</v>
      </c>
      <c r="Z47" s="75">
        <f t="shared" si="8"/>
        <v>0</v>
      </c>
      <c r="AA47" s="75">
        <f t="shared" si="9"/>
        <v>0</v>
      </c>
      <c r="AB47" s="75">
        <f t="shared" si="10"/>
        <v>0</v>
      </c>
      <c r="AC47" s="75">
        <f t="shared" si="11"/>
        <v>11</v>
      </c>
      <c r="AD47" s="75">
        <f t="shared" si="12"/>
        <v>11</v>
      </c>
      <c r="AE47" s="300"/>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row>
    <row r="48" spans="1:56" s="90" customFormat="1" ht="81" customHeight="1" x14ac:dyDescent="0.25">
      <c r="A48" s="294"/>
      <c r="B48" s="288"/>
      <c r="C48" s="96"/>
      <c r="D48" s="92"/>
      <c r="E48" s="96"/>
      <c r="F48" s="92"/>
      <c r="G48" s="88">
        <v>6</v>
      </c>
      <c r="H48" s="87" t="s">
        <v>170</v>
      </c>
      <c r="I48" s="89"/>
      <c r="J48" s="75"/>
      <c r="K48" s="75"/>
      <c r="L48" s="75"/>
      <c r="M48" s="75"/>
      <c r="N48" s="75"/>
      <c r="O48" s="75">
        <v>1</v>
      </c>
      <c r="P48" s="142"/>
      <c r="Q48" s="75">
        <v>0</v>
      </c>
      <c r="R48" s="75">
        <f t="shared" ref="R44:R54" si="18">12*0.1</f>
        <v>1.2000000000000002</v>
      </c>
      <c r="S48" s="75">
        <f t="shared" ref="S44:S54" si="19">12*0.2</f>
        <v>2.4000000000000004</v>
      </c>
      <c r="T48" s="75">
        <f t="shared" ref="T44:T54" si="20">12*0.3</f>
        <v>3.5999999999999996</v>
      </c>
      <c r="U48" s="75">
        <f t="shared" ref="U44:U54" si="21">12*0.6</f>
        <v>7.1999999999999993</v>
      </c>
      <c r="V48" s="75">
        <f t="shared" ref="V44:V54" si="22">12*1</f>
        <v>12</v>
      </c>
      <c r="W48" s="140"/>
      <c r="X48" s="75">
        <f t="shared" si="6"/>
        <v>0</v>
      </c>
      <c r="Y48" s="75">
        <f t="shared" si="7"/>
        <v>0</v>
      </c>
      <c r="Z48" s="75">
        <f t="shared" si="8"/>
        <v>0</v>
      </c>
      <c r="AA48" s="75">
        <f t="shared" si="9"/>
        <v>0</v>
      </c>
      <c r="AB48" s="75">
        <f t="shared" si="10"/>
        <v>0</v>
      </c>
      <c r="AC48" s="75">
        <f t="shared" si="11"/>
        <v>12</v>
      </c>
      <c r="AD48" s="75">
        <f t="shared" si="12"/>
        <v>12</v>
      </c>
      <c r="AE48" s="300"/>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row>
    <row r="49" spans="1:56" s="90" customFormat="1" ht="75" customHeight="1" x14ac:dyDescent="0.25">
      <c r="A49" s="294"/>
      <c r="B49" s="288"/>
      <c r="C49" s="93"/>
      <c r="D49" s="91" t="s">
        <v>31</v>
      </c>
      <c r="E49" s="93"/>
      <c r="F49" s="91" t="s">
        <v>171</v>
      </c>
      <c r="G49" s="88">
        <v>7</v>
      </c>
      <c r="H49" s="87" t="s">
        <v>172</v>
      </c>
      <c r="I49" s="89" t="s">
        <v>285</v>
      </c>
      <c r="J49" s="75"/>
      <c r="K49" s="75"/>
      <c r="L49" s="75"/>
      <c r="M49" s="75"/>
      <c r="N49" s="75"/>
      <c r="O49" s="75">
        <v>1</v>
      </c>
      <c r="P49" s="143"/>
      <c r="Q49" s="75">
        <v>0</v>
      </c>
      <c r="R49" s="75">
        <f t="shared" si="18"/>
        <v>1.2000000000000002</v>
      </c>
      <c r="S49" s="75">
        <f t="shared" si="19"/>
        <v>2.4000000000000004</v>
      </c>
      <c r="T49" s="75">
        <f t="shared" si="20"/>
        <v>3.5999999999999996</v>
      </c>
      <c r="U49" s="75">
        <f t="shared" si="21"/>
        <v>7.1999999999999993</v>
      </c>
      <c r="V49" s="75">
        <f t="shared" si="22"/>
        <v>12</v>
      </c>
      <c r="W49" s="140"/>
      <c r="X49" s="75">
        <f t="shared" si="6"/>
        <v>0</v>
      </c>
      <c r="Y49" s="75">
        <f t="shared" si="7"/>
        <v>0</v>
      </c>
      <c r="Z49" s="75">
        <f t="shared" si="8"/>
        <v>0</v>
      </c>
      <c r="AA49" s="75">
        <f t="shared" si="9"/>
        <v>0</v>
      </c>
      <c r="AB49" s="75">
        <f t="shared" si="10"/>
        <v>0</v>
      </c>
      <c r="AC49" s="75">
        <f t="shared" si="11"/>
        <v>12</v>
      </c>
      <c r="AD49" s="75">
        <f t="shared" si="12"/>
        <v>12</v>
      </c>
      <c r="AE49" s="300"/>
      <c r="AF49" s="155"/>
      <c r="AG49" s="155"/>
      <c r="AH49" s="155"/>
      <c r="AI49" s="155"/>
      <c r="AJ49" s="155"/>
      <c r="AK49" s="155"/>
      <c r="AL49" s="155"/>
      <c r="AM49" s="155"/>
      <c r="AN49" s="155"/>
      <c r="AO49" s="155"/>
      <c r="AP49" s="155"/>
      <c r="AQ49" s="155"/>
      <c r="AR49" s="155"/>
      <c r="AS49" s="155"/>
      <c r="AT49" s="155"/>
      <c r="AU49" s="155"/>
      <c r="AV49" s="155"/>
      <c r="AW49" s="155"/>
      <c r="AX49" s="155"/>
      <c r="AY49" s="155"/>
      <c r="AZ49" s="155"/>
      <c r="BA49" s="155"/>
      <c r="BB49" s="155"/>
      <c r="BC49" s="155"/>
      <c r="BD49" s="155"/>
    </row>
    <row r="50" spans="1:56" s="90" customFormat="1" ht="68.25" customHeight="1" x14ac:dyDescent="0.25">
      <c r="A50" s="294"/>
      <c r="B50" s="288"/>
      <c r="C50" s="94"/>
      <c r="D50" s="95"/>
      <c r="E50" s="94"/>
      <c r="F50" s="95"/>
      <c r="G50" s="88">
        <v>8</v>
      </c>
      <c r="H50" s="87" t="s">
        <v>173</v>
      </c>
      <c r="I50" s="89"/>
      <c r="J50" s="75"/>
      <c r="K50" s="75"/>
      <c r="L50" s="75"/>
      <c r="M50" s="75"/>
      <c r="N50" s="75"/>
      <c r="O50" s="75">
        <v>1</v>
      </c>
      <c r="P50" s="142"/>
      <c r="Q50" s="75">
        <v>0</v>
      </c>
      <c r="R50" s="75">
        <f t="shared" si="18"/>
        <v>1.2000000000000002</v>
      </c>
      <c r="S50" s="75">
        <f t="shared" si="19"/>
        <v>2.4000000000000004</v>
      </c>
      <c r="T50" s="75">
        <f t="shared" si="20"/>
        <v>3.5999999999999996</v>
      </c>
      <c r="U50" s="75">
        <f t="shared" si="21"/>
        <v>7.1999999999999993</v>
      </c>
      <c r="V50" s="75">
        <f t="shared" si="22"/>
        <v>12</v>
      </c>
      <c r="W50" s="140"/>
      <c r="X50" s="75">
        <f t="shared" si="6"/>
        <v>0</v>
      </c>
      <c r="Y50" s="75">
        <f t="shared" si="7"/>
        <v>0</v>
      </c>
      <c r="Z50" s="75">
        <f t="shared" si="8"/>
        <v>0</v>
      </c>
      <c r="AA50" s="75">
        <f t="shared" si="9"/>
        <v>0</v>
      </c>
      <c r="AB50" s="75">
        <f t="shared" si="10"/>
        <v>0</v>
      </c>
      <c r="AC50" s="75">
        <f t="shared" si="11"/>
        <v>12</v>
      </c>
      <c r="AD50" s="75">
        <f t="shared" si="12"/>
        <v>12</v>
      </c>
      <c r="AE50" s="300"/>
      <c r="AF50" s="155"/>
      <c r="AG50" s="155"/>
      <c r="AH50" s="155"/>
      <c r="AI50" s="155"/>
      <c r="AJ50" s="155"/>
      <c r="AK50" s="155"/>
      <c r="AL50" s="155"/>
      <c r="AM50" s="155"/>
      <c r="AN50" s="155"/>
      <c r="AO50" s="155"/>
      <c r="AP50" s="155"/>
      <c r="AQ50" s="155"/>
      <c r="AR50" s="155"/>
      <c r="AS50" s="155"/>
      <c r="AT50" s="155"/>
      <c r="AU50" s="155"/>
      <c r="AV50" s="155"/>
      <c r="AW50" s="155"/>
      <c r="AX50" s="155"/>
      <c r="AY50" s="155"/>
      <c r="AZ50" s="155"/>
      <c r="BA50" s="155"/>
      <c r="BB50" s="155"/>
      <c r="BC50" s="155"/>
      <c r="BD50" s="155"/>
    </row>
    <row r="51" spans="1:56" s="90" customFormat="1" ht="69.75" customHeight="1" x14ac:dyDescent="0.25">
      <c r="A51" s="294"/>
      <c r="B51" s="288"/>
      <c r="C51" s="94"/>
      <c r="D51" s="95"/>
      <c r="E51" s="94"/>
      <c r="F51" s="95"/>
      <c r="G51" s="88">
        <v>9</v>
      </c>
      <c r="H51" s="87" t="s">
        <v>174</v>
      </c>
      <c r="I51" s="89"/>
      <c r="J51" s="75"/>
      <c r="K51" s="75"/>
      <c r="L51" s="75"/>
      <c r="M51" s="75"/>
      <c r="N51" s="75"/>
      <c r="O51" s="75">
        <v>1</v>
      </c>
      <c r="P51" s="143"/>
      <c r="Q51" s="75">
        <v>0</v>
      </c>
      <c r="R51" s="75">
        <f t="shared" si="18"/>
        <v>1.2000000000000002</v>
      </c>
      <c r="S51" s="75">
        <f t="shared" si="19"/>
        <v>2.4000000000000004</v>
      </c>
      <c r="T51" s="75">
        <f t="shared" si="20"/>
        <v>3.5999999999999996</v>
      </c>
      <c r="U51" s="75">
        <f t="shared" si="21"/>
        <v>7.1999999999999993</v>
      </c>
      <c r="V51" s="75">
        <f t="shared" si="22"/>
        <v>12</v>
      </c>
      <c r="W51" s="140"/>
      <c r="X51" s="75">
        <f t="shared" si="6"/>
        <v>0</v>
      </c>
      <c r="Y51" s="75">
        <f t="shared" si="7"/>
        <v>0</v>
      </c>
      <c r="Z51" s="75">
        <f t="shared" si="8"/>
        <v>0</v>
      </c>
      <c r="AA51" s="75">
        <f t="shared" si="9"/>
        <v>0</v>
      </c>
      <c r="AB51" s="75">
        <f t="shared" si="10"/>
        <v>0</v>
      </c>
      <c r="AC51" s="75">
        <f t="shared" si="11"/>
        <v>12</v>
      </c>
      <c r="AD51" s="75">
        <f t="shared" si="12"/>
        <v>12</v>
      </c>
      <c r="AE51" s="300"/>
      <c r="AF51" s="155"/>
      <c r="AG51" s="155"/>
      <c r="AH51" s="155"/>
      <c r="AI51" s="155"/>
      <c r="AJ51" s="155"/>
      <c r="AK51" s="155"/>
      <c r="AL51" s="155"/>
      <c r="AM51" s="155"/>
      <c r="AN51" s="155"/>
      <c r="AO51" s="155"/>
      <c r="AP51" s="155"/>
      <c r="AQ51" s="155"/>
      <c r="AR51" s="155"/>
      <c r="AS51" s="155"/>
      <c r="AT51" s="155"/>
      <c r="AU51" s="155"/>
      <c r="AV51" s="155"/>
      <c r="AW51" s="155"/>
      <c r="AX51" s="155"/>
      <c r="AY51" s="155"/>
      <c r="AZ51" s="155"/>
      <c r="BA51" s="155"/>
      <c r="BB51" s="155"/>
      <c r="BC51" s="155"/>
      <c r="BD51" s="155"/>
    </row>
    <row r="52" spans="1:56" s="90" customFormat="1" ht="60" customHeight="1" x14ac:dyDescent="0.25">
      <c r="A52" s="294"/>
      <c r="B52" s="288"/>
      <c r="C52" s="96"/>
      <c r="D52" s="92"/>
      <c r="E52" s="96"/>
      <c r="F52" s="92"/>
      <c r="G52" s="88">
        <v>10</v>
      </c>
      <c r="H52" s="87" t="s">
        <v>175</v>
      </c>
      <c r="I52" s="89"/>
      <c r="J52" s="75"/>
      <c r="K52" s="75"/>
      <c r="L52" s="75"/>
      <c r="M52" s="75"/>
      <c r="N52" s="75"/>
      <c r="O52" s="75">
        <v>1</v>
      </c>
      <c r="P52" s="142"/>
      <c r="Q52" s="75">
        <v>0</v>
      </c>
      <c r="R52" s="75">
        <f t="shared" si="18"/>
        <v>1.2000000000000002</v>
      </c>
      <c r="S52" s="75">
        <f t="shared" si="19"/>
        <v>2.4000000000000004</v>
      </c>
      <c r="T52" s="75">
        <f t="shared" si="20"/>
        <v>3.5999999999999996</v>
      </c>
      <c r="U52" s="75">
        <f t="shared" si="21"/>
        <v>7.1999999999999993</v>
      </c>
      <c r="V52" s="75">
        <f t="shared" si="22"/>
        <v>12</v>
      </c>
      <c r="W52" s="140"/>
      <c r="X52" s="75">
        <f t="shared" si="6"/>
        <v>0</v>
      </c>
      <c r="Y52" s="75">
        <f t="shared" si="7"/>
        <v>0</v>
      </c>
      <c r="Z52" s="75">
        <f t="shared" si="8"/>
        <v>0</v>
      </c>
      <c r="AA52" s="75">
        <f t="shared" si="9"/>
        <v>0</v>
      </c>
      <c r="AB52" s="75">
        <f t="shared" si="10"/>
        <v>0</v>
      </c>
      <c r="AC52" s="75">
        <f t="shared" si="11"/>
        <v>12</v>
      </c>
      <c r="AD52" s="75">
        <f t="shared" si="12"/>
        <v>12</v>
      </c>
      <c r="AE52" s="300"/>
      <c r="AF52" s="155"/>
      <c r="AG52" s="155"/>
      <c r="AH52" s="155"/>
      <c r="AI52" s="155"/>
      <c r="AJ52" s="155"/>
      <c r="AK52" s="155"/>
      <c r="AL52" s="155"/>
      <c r="AM52" s="155"/>
      <c r="AN52" s="155"/>
      <c r="AO52" s="155"/>
      <c r="AP52" s="155"/>
      <c r="AQ52" s="155"/>
      <c r="AR52" s="155"/>
      <c r="AS52" s="155"/>
      <c r="AT52" s="155"/>
      <c r="AU52" s="155"/>
      <c r="AV52" s="155"/>
      <c r="AW52" s="155"/>
      <c r="AX52" s="155"/>
      <c r="AY52" s="155"/>
      <c r="AZ52" s="155"/>
      <c r="BA52" s="155"/>
      <c r="BB52" s="155"/>
      <c r="BC52" s="155"/>
      <c r="BD52" s="155"/>
    </row>
    <row r="53" spans="1:56" s="90" customFormat="1" ht="111" customHeight="1" x14ac:dyDescent="0.25">
      <c r="A53" s="294"/>
      <c r="B53" s="288"/>
      <c r="C53" s="93"/>
      <c r="D53" s="91" t="s">
        <v>32</v>
      </c>
      <c r="E53" s="93"/>
      <c r="F53" s="91" t="s">
        <v>176</v>
      </c>
      <c r="G53" s="88">
        <v>11</v>
      </c>
      <c r="H53" s="87" t="s">
        <v>177</v>
      </c>
      <c r="I53" s="89" t="s">
        <v>286</v>
      </c>
      <c r="J53" s="75"/>
      <c r="K53" s="75"/>
      <c r="L53" s="75"/>
      <c r="M53" s="75"/>
      <c r="N53" s="75"/>
      <c r="O53" s="75">
        <v>1</v>
      </c>
      <c r="P53" s="143"/>
      <c r="Q53" s="75">
        <v>0</v>
      </c>
      <c r="R53" s="75">
        <f t="shared" si="18"/>
        <v>1.2000000000000002</v>
      </c>
      <c r="S53" s="75">
        <f t="shared" si="19"/>
        <v>2.4000000000000004</v>
      </c>
      <c r="T53" s="75">
        <f t="shared" si="20"/>
        <v>3.5999999999999996</v>
      </c>
      <c r="U53" s="75">
        <f t="shared" si="21"/>
        <v>7.1999999999999993</v>
      </c>
      <c r="V53" s="75">
        <f t="shared" si="22"/>
        <v>12</v>
      </c>
      <c r="W53" s="140"/>
      <c r="X53" s="75">
        <f t="shared" si="6"/>
        <v>0</v>
      </c>
      <c r="Y53" s="75">
        <f t="shared" si="7"/>
        <v>0</v>
      </c>
      <c r="Z53" s="75">
        <f t="shared" si="8"/>
        <v>0</v>
      </c>
      <c r="AA53" s="75">
        <f t="shared" si="9"/>
        <v>0</v>
      </c>
      <c r="AB53" s="75">
        <f t="shared" si="10"/>
        <v>0</v>
      </c>
      <c r="AC53" s="75">
        <f t="shared" si="11"/>
        <v>12</v>
      </c>
      <c r="AD53" s="75">
        <f t="shared" si="12"/>
        <v>12</v>
      </c>
      <c r="AE53" s="300"/>
      <c r="AF53" s="155"/>
      <c r="AG53" s="155"/>
      <c r="AH53" s="155"/>
      <c r="AI53" s="155"/>
      <c r="AJ53" s="155"/>
      <c r="AK53" s="155"/>
      <c r="AL53" s="155"/>
      <c r="AM53" s="155"/>
      <c r="AN53" s="155"/>
      <c r="AO53" s="155"/>
      <c r="AP53" s="155"/>
      <c r="AQ53" s="155"/>
      <c r="AR53" s="155"/>
      <c r="AS53" s="155"/>
      <c r="AT53" s="155"/>
      <c r="AU53" s="155"/>
      <c r="AV53" s="155"/>
      <c r="AW53" s="155"/>
      <c r="AX53" s="155"/>
      <c r="AY53" s="155"/>
      <c r="AZ53" s="155"/>
      <c r="BA53" s="155"/>
      <c r="BB53" s="155"/>
      <c r="BC53" s="155"/>
      <c r="BD53" s="155"/>
    </row>
    <row r="54" spans="1:56" s="90" customFormat="1" ht="74.25" customHeight="1" x14ac:dyDescent="0.25">
      <c r="A54" s="295"/>
      <c r="B54" s="289"/>
      <c r="C54" s="96"/>
      <c r="D54" s="92"/>
      <c r="E54" s="96"/>
      <c r="F54" s="92"/>
      <c r="G54" s="88">
        <v>12</v>
      </c>
      <c r="H54" s="105" t="s">
        <v>178</v>
      </c>
      <c r="I54" s="89"/>
      <c r="J54" s="75"/>
      <c r="K54" s="75"/>
      <c r="L54" s="75"/>
      <c r="M54" s="75"/>
      <c r="N54" s="75"/>
      <c r="O54" s="75">
        <v>1</v>
      </c>
      <c r="P54" s="142"/>
      <c r="Q54" s="75">
        <v>0</v>
      </c>
      <c r="R54" s="75">
        <f t="shared" si="18"/>
        <v>1.2000000000000002</v>
      </c>
      <c r="S54" s="75">
        <f t="shared" si="19"/>
        <v>2.4000000000000004</v>
      </c>
      <c r="T54" s="75">
        <f t="shared" si="20"/>
        <v>3.5999999999999996</v>
      </c>
      <c r="U54" s="75">
        <f t="shared" si="21"/>
        <v>7.1999999999999993</v>
      </c>
      <c r="V54" s="75">
        <f t="shared" si="22"/>
        <v>12</v>
      </c>
      <c r="W54" s="140"/>
      <c r="X54" s="75">
        <f t="shared" si="6"/>
        <v>0</v>
      </c>
      <c r="Y54" s="75">
        <f t="shared" si="7"/>
        <v>0</v>
      </c>
      <c r="Z54" s="75">
        <f t="shared" si="8"/>
        <v>0</v>
      </c>
      <c r="AA54" s="75">
        <f t="shared" si="9"/>
        <v>0</v>
      </c>
      <c r="AB54" s="75">
        <f t="shared" si="10"/>
        <v>0</v>
      </c>
      <c r="AC54" s="75">
        <f t="shared" si="11"/>
        <v>12</v>
      </c>
      <c r="AD54" s="75">
        <f t="shared" si="12"/>
        <v>12</v>
      </c>
      <c r="AE54" s="301"/>
      <c r="AF54" s="155"/>
      <c r="AG54" s="155"/>
      <c r="AH54" s="155"/>
      <c r="AI54" s="155"/>
      <c r="AJ54" s="155"/>
      <c r="AK54" s="155"/>
      <c r="AL54" s="155"/>
      <c r="AM54" s="155"/>
      <c r="AN54" s="155"/>
      <c r="AO54" s="155"/>
      <c r="AP54" s="155"/>
      <c r="AQ54" s="155"/>
      <c r="AR54" s="155"/>
      <c r="AS54" s="155"/>
      <c r="AT54" s="155"/>
      <c r="AU54" s="155"/>
      <c r="AV54" s="155"/>
      <c r="AW54" s="155"/>
      <c r="AX54" s="155"/>
      <c r="AY54" s="155"/>
      <c r="AZ54" s="155"/>
      <c r="BA54" s="155"/>
      <c r="BB54" s="155"/>
      <c r="BC54" s="155"/>
      <c r="BD54" s="155"/>
    </row>
    <row r="55" spans="1:56" s="90" customFormat="1" ht="63.75" customHeight="1" x14ac:dyDescent="0.25">
      <c r="A55" s="293">
        <v>3</v>
      </c>
      <c r="B55" s="287" t="s">
        <v>33</v>
      </c>
      <c r="C55" s="93"/>
      <c r="D55" s="91" t="s">
        <v>34</v>
      </c>
      <c r="E55" s="93"/>
      <c r="F55" s="106" t="s">
        <v>179</v>
      </c>
      <c r="G55" s="88">
        <v>1</v>
      </c>
      <c r="H55" s="87" t="s">
        <v>180</v>
      </c>
      <c r="I55" s="89" t="s">
        <v>287</v>
      </c>
      <c r="J55" s="75"/>
      <c r="K55" s="75"/>
      <c r="L55" s="75"/>
      <c r="M55" s="75"/>
      <c r="N55" s="75"/>
      <c r="O55" s="75">
        <v>1</v>
      </c>
      <c r="P55" s="142"/>
      <c r="Q55" s="75">
        <v>0</v>
      </c>
      <c r="R55" s="75">
        <f>8*0.1</f>
        <v>0.8</v>
      </c>
      <c r="S55" s="75">
        <f>8*0.2</f>
        <v>1.6</v>
      </c>
      <c r="T55" s="75">
        <f>8*0.3</f>
        <v>2.4</v>
      </c>
      <c r="U55" s="75">
        <f>8*0.6</f>
        <v>4.8</v>
      </c>
      <c r="V55" s="75">
        <f>8*1</f>
        <v>8</v>
      </c>
      <c r="W55" s="140"/>
      <c r="X55" s="75">
        <f t="shared" si="6"/>
        <v>0</v>
      </c>
      <c r="Y55" s="75">
        <f t="shared" si="7"/>
        <v>0</v>
      </c>
      <c r="Z55" s="75">
        <f t="shared" si="8"/>
        <v>0</v>
      </c>
      <c r="AA55" s="75">
        <f t="shared" si="9"/>
        <v>0</v>
      </c>
      <c r="AB55" s="75">
        <f t="shared" si="10"/>
        <v>0</v>
      </c>
      <c r="AC55" s="75">
        <f t="shared" si="11"/>
        <v>8</v>
      </c>
      <c r="AD55" s="75">
        <f t="shared" si="12"/>
        <v>8</v>
      </c>
      <c r="AE55" s="299">
        <f>+SUM(AD55:AD71)</f>
        <v>120</v>
      </c>
      <c r="AF55" s="155"/>
      <c r="AG55" s="155"/>
      <c r="AH55" s="155"/>
      <c r="AI55" s="155"/>
      <c r="AJ55" s="155"/>
      <c r="AK55" s="155"/>
      <c r="AL55" s="155"/>
      <c r="AM55" s="155"/>
      <c r="AN55" s="155"/>
      <c r="AO55" s="155"/>
      <c r="AP55" s="155"/>
      <c r="AQ55" s="155"/>
      <c r="AR55" s="155"/>
      <c r="AS55" s="155"/>
      <c r="AT55" s="155"/>
      <c r="AU55" s="155"/>
      <c r="AV55" s="155"/>
      <c r="AW55" s="155"/>
      <c r="AX55" s="155"/>
      <c r="AY55" s="155"/>
      <c r="AZ55" s="155"/>
      <c r="BA55" s="155"/>
      <c r="BB55" s="155"/>
      <c r="BC55" s="155"/>
      <c r="BD55" s="155"/>
    </row>
    <row r="56" spans="1:56" s="90" customFormat="1" ht="55.5" customHeight="1" x14ac:dyDescent="0.25">
      <c r="A56" s="294"/>
      <c r="B56" s="288"/>
      <c r="C56" s="94"/>
      <c r="D56" s="95"/>
      <c r="E56" s="94"/>
      <c r="F56" s="107"/>
      <c r="G56" s="88">
        <v>2</v>
      </c>
      <c r="H56" s="87" t="s">
        <v>181</v>
      </c>
      <c r="I56" s="89"/>
      <c r="J56" s="75"/>
      <c r="K56" s="75"/>
      <c r="L56" s="75"/>
      <c r="M56" s="75"/>
      <c r="N56" s="75"/>
      <c r="O56" s="75">
        <v>1</v>
      </c>
      <c r="P56" s="143"/>
      <c r="Q56" s="75">
        <v>0</v>
      </c>
      <c r="R56" s="75">
        <f t="shared" ref="R56:R71" si="23">7*0.1</f>
        <v>0.70000000000000007</v>
      </c>
      <c r="S56" s="75">
        <f t="shared" ref="S56:S71" si="24">7*0.2</f>
        <v>1.4000000000000001</v>
      </c>
      <c r="T56" s="75">
        <f t="shared" ref="T56:T71" si="25">7*0.3</f>
        <v>2.1</v>
      </c>
      <c r="U56" s="75">
        <f t="shared" ref="U56:U71" si="26">7*0.6</f>
        <v>4.2</v>
      </c>
      <c r="V56" s="75">
        <f t="shared" ref="V56:V71" si="27">7*1</f>
        <v>7</v>
      </c>
      <c r="W56" s="140"/>
      <c r="X56" s="75">
        <f t="shared" si="6"/>
        <v>0</v>
      </c>
      <c r="Y56" s="75">
        <f t="shared" si="7"/>
        <v>0</v>
      </c>
      <c r="Z56" s="75">
        <f t="shared" si="8"/>
        <v>0</v>
      </c>
      <c r="AA56" s="75">
        <f t="shared" si="9"/>
        <v>0</v>
      </c>
      <c r="AB56" s="75">
        <f t="shared" si="10"/>
        <v>0</v>
      </c>
      <c r="AC56" s="75">
        <f t="shared" si="11"/>
        <v>7</v>
      </c>
      <c r="AD56" s="75">
        <f t="shared" si="12"/>
        <v>7</v>
      </c>
      <c r="AE56" s="300"/>
      <c r="AF56" s="155"/>
      <c r="AG56" s="155"/>
      <c r="AH56" s="155"/>
      <c r="AI56" s="155"/>
      <c r="AJ56" s="155"/>
      <c r="AK56" s="155"/>
      <c r="AL56" s="155"/>
      <c r="AM56" s="155"/>
      <c r="AN56" s="155"/>
      <c r="AO56" s="155"/>
      <c r="AP56" s="155"/>
      <c r="AQ56" s="155"/>
      <c r="AR56" s="155"/>
      <c r="AS56" s="155"/>
      <c r="AT56" s="155"/>
      <c r="AU56" s="155"/>
      <c r="AV56" s="155"/>
      <c r="AW56" s="155"/>
      <c r="AX56" s="155"/>
      <c r="AY56" s="155"/>
      <c r="AZ56" s="155"/>
      <c r="BA56" s="155"/>
      <c r="BB56" s="155"/>
      <c r="BC56" s="155"/>
      <c r="BD56" s="155"/>
    </row>
    <row r="57" spans="1:56" s="90" customFormat="1" ht="45" customHeight="1" x14ac:dyDescent="0.25">
      <c r="A57" s="294"/>
      <c r="B57" s="288"/>
      <c r="C57" s="94"/>
      <c r="D57" s="95"/>
      <c r="E57" s="94"/>
      <c r="F57" s="107"/>
      <c r="G57" s="88">
        <v>3</v>
      </c>
      <c r="H57" s="87" t="s">
        <v>182</v>
      </c>
      <c r="I57" s="89"/>
      <c r="J57" s="75"/>
      <c r="K57" s="75"/>
      <c r="L57" s="75"/>
      <c r="M57" s="75"/>
      <c r="N57" s="75"/>
      <c r="O57" s="75">
        <v>1</v>
      </c>
      <c r="P57" s="142"/>
      <c r="Q57" s="75">
        <v>0</v>
      </c>
      <c r="R57" s="75">
        <f t="shared" si="23"/>
        <v>0.70000000000000007</v>
      </c>
      <c r="S57" s="75">
        <f t="shared" si="24"/>
        <v>1.4000000000000001</v>
      </c>
      <c r="T57" s="75">
        <f t="shared" si="25"/>
        <v>2.1</v>
      </c>
      <c r="U57" s="75">
        <f t="shared" si="26"/>
        <v>4.2</v>
      </c>
      <c r="V57" s="75">
        <f t="shared" si="27"/>
        <v>7</v>
      </c>
      <c r="W57" s="140"/>
      <c r="X57" s="75">
        <f t="shared" si="6"/>
        <v>0</v>
      </c>
      <c r="Y57" s="75">
        <f t="shared" si="7"/>
        <v>0</v>
      </c>
      <c r="Z57" s="75">
        <f t="shared" si="8"/>
        <v>0</v>
      </c>
      <c r="AA57" s="75">
        <f t="shared" si="9"/>
        <v>0</v>
      </c>
      <c r="AB57" s="75">
        <f t="shared" si="10"/>
        <v>0</v>
      </c>
      <c r="AC57" s="75">
        <f t="shared" si="11"/>
        <v>7</v>
      </c>
      <c r="AD57" s="75">
        <f t="shared" si="12"/>
        <v>7</v>
      </c>
      <c r="AE57" s="300"/>
      <c r="AF57" s="155"/>
      <c r="AG57" s="155"/>
      <c r="AH57" s="155"/>
      <c r="AI57" s="155"/>
      <c r="AJ57" s="155"/>
      <c r="AK57" s="155"/>
      <c r="AL57" s="155"/>
      <c r="AM57" s="155"/>
      <c r="AN57" s="155"/>
      <c r="AO57" s="155"/>
      <c r="AP57" s="155"/>
      <c r="AQ57" s="155"/>
      <c r="AR57" s="155"/>
      <c r="AS57" s="155"/>
      <c r="AT57" s="155"/>
      <c r="AU57" s="155"/>
      <c r="AV57" s="155"/>
      <c r="AW57" s="155"/>
      <c r="AX57" s="155"/>
      <c r="AY57" s="155"/>
      <c r="AZ57" s="155"/>
      <c r="BA57" s="155"/>
      <c r="BB57" s="155"/>
      <c r="BC57" s="155"/>
      <c r="BD57" s="155"/>
    </row>
    <row r="58" spans="1:56" s="90" customFormat="1" ht="45" customHeight="1" x14ac:dyDescent="0.25">
      <c r="A58" s="294"/>
      <c r="B58" s="288"/>
      <c r="C58" s="94"/>
      <c r="D58" s="95"/>
      <c r="E58" s="94"/>
      <c r="F58" s="107"/>
      <c r="G58" s="88">
        <v>4</v>
      </c>
      <c r="H58" s="87" t="s">
        <v>183</v>
      </c>
      <c r="I58" s="89"/>
      <c r="J58" s="75"/>
      <c r="K58" s="75"/>
      <c r="L58" s="75"/>
      <c r="M58" s="75"/>
      <c r="N58" s="75"/>
      <c r="O58" s="75">
        <v>1</v>
      </c>
      <c r="P58" s="143"/>
      <c r="Q58" s="75">
        <v>0</v>
      </c>
      <c r="R58" s="75">
        <f t="shared" si="23"/>
        <v>0.70000000000000007</v>
      </c>
      <c r="S58" s="75">
        <f t="shared" si="24"/>
        <v>1.4000000000000001</v>
      </c>
      <c r="T58" s="75">
        <f t="shared" si="25"/>
        <v>2.1</v>
      </c>
      <c r="U58" s="75">
        <f t="shared" si="26"/>
        <v>4.2</v>
      </c>
      <c r="V58" s="75">
        <f t="shared" si="27"/>
        <v>7</v>
      </c>
      <c r="W58" s="140"/>
      <c r="X58" s="75">
        <f t="shared" si="6"/>
        <v>0</v>
      </c>
      <c r="Y58" s="75">
        <f t="shared" si="7"/>
        <v>0</v>
      </c>
      <c r="Z58" s="75">
        <f t="shared" si="8"/>
        <v>0</v>
      </c>
      <c r="AA58" s="75">
        <f t="shared" si="9"/>
        <v>0</v>
      </c>
      <c r="AB58" s="75">
        <f t="shared" si="10"/>
        <v>0</v>
      </c>
      <c r="AC58" s="75">
        <f t="shared" si="11"/>
        <v>7</v>
      </c>
      <c r="AD58" s="75">
        <f t="shared" si="12"/>
        <v>7</v>
      </c>
      <c r="AE58" s="300"/>
      <c r="AF58" s="155"/>
      <c r="AG58" s="155"/>
      <c r="AH58" s="155"/>
      <c r="AI58" s="155"/>
      <c r="AJ58" s="155"/>
      <c r="AK58" s="155"/>
      <c r="AL58" s="155"/>
      <c r="AM58" s="155"/>
      <c r="AN58" s="155"/>
      <c r="AO58" s="155"/>
      <c r="AP58" s="155"/>
      <c r="AQ58" s="155"/>
      <c r="AR58" s="155"/>
      <c r="AS58" s="155"/>
      <c r="AT58" s="155"/>
      <c r="AU58" s="155"/>
      <c r="AV58" s="155"/>
      <c r="AW58" s="155"/>
      <c r="AX58" s="155"/>
      <c r="AY58" s="155"/>
      <c r="AZ58" s="155"/>
      <c r="BA58" s="155"/>
      <c r="BB58" s="155"/>
      <c r="BC58" s="155"/>
      <c r="BD58" s="155"/>
    </row>
    <row r="59" spans="1:56" s="90" customFormat="1" ht="55.5" customHeight="1" x14ac:dyDescent="0.25">
      <c r="A59" s="294"/>
      <c r="B59" s="288"/>
      <c r="C59" s="94"/>
      <c r="D59" s="95"/>
      <c r="E59" s="94"/>
      <c r="F59" s="107"/>
      <c r="G59" s="88">
        <v>5</v>
      </c>
      <c r="H59" s="87" t="s">
        <v>184</v>
      </c>
      <c r="I59" s="89"/>
      <c r="J59" s="75"/>
      <c r="K59" s="75"/>
      <c r="L59" s="75"/>
      <c r="M59" s="75"/>
      <c r="N59" s="75"/>
      <c r="O59" s="75">
        <v>1</v>
      </c>
      <c r="P59" s="142"/>
      <c r="Q59" s="75">
        <v>0</v>
      </c>
      <c r="R59" s="75">
        <f t="shared" si="23"/>
        <v>0.70000000000000007</v>
      </c>
      <c r="S59" s="75">
        <f t="shared" si="24"/>
        <v>1.4000000000000001</v>
      </c>
      <c r="T59" s="75">
        <f t="shared" si="25"/>
        <v>2.1</v>
      </c>
      <c r="U59" s="75">
        <f t="shared" si="26"/>
        <v>4.2</v>
      </c>
      <c r="V59" s="75">
        <f t="shared" si="27"/>
        <v>7</v>
      </c>
      <c r="W59" s="140"/>
      <c r="X59" s="75">
        <f t="shared" si="6"/>
        <v>0</v>
      </c>
      <c r="Y59" s="75">
        <f t="shared" si="7"/>
        <v>0</v>
      </c>
      <c r="Z59" s="75">
        <f t="shared" si="8"/>
        <v>0</v>
      </c>
      <c r="AA59" s="75">
        <f t="shared" si="9"/>
        <v>0</v>
      </c>
      <c r="AB59" s="75">
        <f t="shared" si="10"/>
        <v>0</v>
      </c>
      <c r="AC59" s="75">
        <f t="shared" si="11"/>
        <v>7</v>
      </c>
      <c r="AD59" s="75">
        <f t="shared" si="12"/>
        <v>7</v>
      </c>
      <c r="AE59" s="300"/>
      <c r="AF59" s="155"/>
      <c r="AG59" s="155"/>
      <c r="AH59" s="155"/>
      <c r="AI59" s="155"/>
      <c r="AJ59" s="155"/>
      <c r="AK59" s="155"/>
      <c r="AL59" s="155"/>
      <c r="AM59" s="155"/>
      <c r="AN59" s="155"/>
      <c r="AO59" s="155"/>
      <c r="AP59" s="155"/>
      <c r="AQ59" s="155"/>
      <c r="AR59" s="155"/>
      <c r="AS59" s="155"/>
      <c r="AT59" s="155"/>
      <c r="AU59" s="155"/>
      <c r="AV59" s="155"/>
      <c r="AW59" s="155"/>
      <c r="AX59" s="155"/>
      <c r="AY59" s="155"/>
      <c r="AZ59" s="155"/>
      <c r="BA59" s="155"/>
      <c r="BB59" s="155"/>
      <c r="BC59" s="155"/>
      <c r="BD59" s="155"/>
    </row>
    <row r="60" spans="1:56" s="90" customFormat="1" ht="43.5" customHeight="1" x14ac:dyDescent="0.25">
      <c r="A60" s="294"/>
      <c r="B60" s="288"/>
      <c r="C60" s="94"/>
      <c r="D60" s="95"/>
      <c r="E60" s="94"/>
      <c r="F60" s="107"/>
      <c r="G60" s="88">
        <v>6</v>
      </c>
      <c r="H60" s="87" t="s">
        <v>185</v>
      </c>
      <c r="I60" s="89"/>
      <c r="J60" s="75"/>
      <c r="K60" s="75"/>
      <c r="L60" s="75"/>
      <c r="M60" s="75"/>
      <c r="N60" s="75"/>
      <c r="O60" s="75">
        <v>1</v>
      </c>
      <c r="P60" s="143"/>
      <c r="Q60" s="75">
        <v>0</v>
      </c>
      <c r="R60" s="75">
        <f t="shared" si="23"/>
        <v>0.70000000000000007</v>
      </c>
      <c r="S60" s="75">
        <f t="shared" si="24"/>
        <v>1.4000000000000001</v>
      </c>
      <c r="T60" s="75">
        <f t="shared" si="25"/>
        <v>2.1</v>
      </c>
      <c r="U60" s="75">
        <f t="shared" si="26"/>
        <v>4.2</v>
      </c>
      <c r="V60" s="75">
        <f t="shared" si="27"/>
        <v>7</v>
      </c>
      <c r="W60" s="140"/>
      <c r="X60" s="75">
        <f t="shared" si="6"/>
        <v>0</v>
      </c>
      <c r="Y60" s="75">
        <f t="shared" si="7"/>
        <v>0</v>
      </c>
      <c r="Z60" s="75">
        <f t="shared" si="8"/>
        <v>0</v>
      </c>
      <c r="AA60" s="75">
        <f t="shared" si="9"/>
        <v>0</v>
      </c>
      <c r="AB60" s="75">
        <f t="shared" si="10"/>
        <v>0</v>
      </c>
      <c r="AC60" s="75">
        <f t="shared" si="11"/>
        <v>7</v>
      </c>
      <c r="AD60" s="75">
        <f t="shared" si="12"/>
        <v>7</v>
      </c>
      <c r="AE60" s="300"/>
      <c r="AF60" s="155"/>
      <c r="AG60" s="155"/>
      <c r="AH60" s="155"/>
      <c r="AI60" s="155"/>
      <c r="AJ60" s="155"/>
      <c r="AK60" s="155"/>
      <c r="AL60" s="155"/>
      <c r="AM60" s="155"/>
      <c r="AN60" s="155"/>
      <c r="AO60" s="155"/>
      <c r="AP60" s="155"/>
      <c r="AQ60" s="155"/>
      <c r="AR60" s="155"/>
      <c r="AS60" s="155"/>
      <c r="AT60" s="155"/>
      <c r="AU60" s="155"/>
      <c r="AV60" s="155"/>
      <c r="AW60" s="155"/>
      <c r="AX60" s="155"/>
      <c r="AY60" s="155"/>
      <c r="AZ60" s="155"/>
      <c r="BA60" s="155"/>
      <c r="BB60" s="155"/>
      <c r="BC60" s="155"/>
      <c r="BD60" s="155"/>
    </row>
    <row r="61" spans="1:56" s="90" customFormat="1" ht="50.25" customHeight="1" x14ac:dyDescent="0.25">
      <c r="A61" s="294"/>
      <c r="B61" s="288"/>
      <c r="C61" s="94"/>
      <c r="D61" s="95"/>
      <c r="E61" s="94"/>
      <c r="F61" s="107"/>
      <c r="G61" s="88">
        <v>7</v>
      </c>
      <c r="H61" s="87" t="s">
        <v>186</v>
      </c>
      <c r="I61" s="89"/>
      <c r="J61" s="75"/>
      <c r="K61" s="75"/>
      <c r="L61" s="75"/>
      <c r="M61" s="75"/>
      <c r="N61" s="75"/>
      <c r="O61" s="75">
        <v>1</v>
      </c>
      <c r="P61" s="142"/>
      <c r="Q61" s="75">
        <v>0</v>
      </c>
      <c r="R61" s="75">
        <f t="shared" si="23"/>
        <v>0.70000000000000007</v>
      </c>
      <c r="S61" s="75">
        <f t="shared" si="24"/>
        <v>1.4000000000000001</v>
      </c>
      <c r="T61" s="75">
        <f t="shared" si="25"/>
        <v>2.1</v>
      </c>
      <c r="U61" s="75">
        <f t="shared" si="26"/>
        <v>4.2</v>
      </c>
      <c r="V61" s="75">
        <f t="shared" si="27"/>
        <v>7</v>
      </c>
      <c r="W61" s="140"/>
      <c r="X61" s="75">
        <f t="shared" si="6"/>
        <v>0</v>
      </c>
      <c r="Y61" s="75">
        <f t="shared" si="7"/>
        <v>0</v>
      </c>
      <c r="Z61" s="75">
        <f t="shared" si="8"/>
        <v>0</v>
      </c>
      <c r="AA61" s="75">
        <f t="shared" si="9"/>
        <v>0</v>
      </c>
      <c r="AB61" s="75">
        <f t="shared" si="10"/>
        <v>0</v>
      </c>
      <c r="AC61" s="75">
        <f t="shared" si="11"/>
        <v>7</v>
      </c>
      <c r="AD61" s="75">
        <f t="shared" si="12"/>
        <v>7</v>
      </c>
      <c r="AE61" s="300"/>
      <c r="AF61" s="155"/>
      <c r="AG61" s="155"/>
      <c r="AH61" s="155"/>
      <c r="AI61" s="155"/>
      <c r="AJ61" s="155"/>
      <c r="AK61" s="155"/>
      <c r="AL61" s="155"/>
      <c r="AM61" s="155"/>
      <c r="AN61" s="155"/>
      <c r="AO61" s="155"/>
      <c r="AP61" s="155"/>
      <c r="AQ61" s="155"/>
      <c r="AR61" s="155"/>
      <c r="AS61" s="155"/>
      <c r="AT61" s="155"/>
      <c r="AU61" s="155"/>
      <c r="AV61" s="155"/>
      <c r="AW61" s="155"/>
      <c r="AX61" s="155"/>
      <c r="AY61" s="155"/>
      <c r="AZ61" s="155"/>
      <c r="BA61" s="155"/>
      <c r="BB61" s="155"/>
      <c r="BC61" s="155"/>
      <c r="BD61" s="155"/>
    </row>
    <row r="62" spans="1:56" s="90" customFormat="1" ht="67.5" customHeight="1" x14ac:dyDescent="0.25">
      <c r="A62" s="294"/>
      <c r="B62" s="288"/>
      <c r="C62" s="96"/>
      <c r="D62" s="92"/>
      <c r="E62" s="96"/>
      <c r="F62" s="108"/>
      <c r="G62" s="88">
        <v>8</v>
      </c>
      <c r="H62" s="109" t="s">
        <v>187</v>
      </c>
      <c r="I62" s="89"/>
      <c r="J62" s="75"/>
      <c r="K62" s="75"/>
      <c r="L62" s="75"/>
      <c r="M62" s="75"/>
      <c r="N62" s="75"/>
      <c r="O62" s="75">
        <v>1</v>
      </c>
      <c r="P62" s="143"/>
      <c r="Q62" s="75">
        <v>0</v>
      </c>
      <c r="R62" s="75">
        <f t="shared" si="23"/>
        <v>0.70000000000000007</v>
      </c>
      <c r="S62" s="75">
        <f t="shared" si="24"/>
        <v>1.4000000000000001</v>
      </c>
      <c r="T62" s="75">
        <f t="shared" si="25"/>
        <v>2.1</v>
      </c>
      <c r="U62" s="75">
        <f t="shared" si="26"/>
        <v>4.2</v>
      </c>
      <c r="V62" s="75">
        <f t="shared" si="27"/>
        <v>7</v>
      </c>
      <c r="W62" s="140"/>
      <c r="X62" s="75">
        <f t="shared" si="6"/>
        <v>0</v>
      </c>
      <c r="Y62" s="75">
        <f t="shared" si="7"/>
        <v>0</v>
      </c>
      <c r="Z62" s="75">
        <f t="shared" si="8"/>
        <v>0</v>
      </c>
      <c r="AA62" s="75">
        <f t="shared" si="9"/>
        <v>0</v>
      </c>
      <c r="AB62" s="75">
        <f t="shared" si="10"/>
        <v>0</v>
      </c>
      <c r="AC62" s="75">
        <f t="shared" si="11"/>
        <v>7</v>
      </c>
      <c r="AD62" s="75">
        <f t="shared" si="12"/>
        <v>7</v>
      </c>
      <c r="AE62" s="300"/>
      <c r="AF62" s="155"/>
      <c r="AG62" s="155"/>
      <c r="AH62" s="155"/>
      <c r="AI62" s="155"/>
      <c r="AJ62" s="155"/>
      <c r="AK62" s="155"/>
      <c r="AL62" s="155"/>
      <c r="AM62" s="155"/>
      <c r="AN62" s="155"/>
      <c r="AO62" s="155"/>
      <c r="AP62" s="155"/>
      <c r="AQ62" s="155"/>
      <c r="AR62" s="155"/>
      <c r="AS62" s="155"/>
      <c r="AT62" s="155"/>
      <c r="AU62" s="155"/>
      <c r="AV62" s="155"/>
      <c r="AW62" s="155"/>
      <c r="AX62" s="155"/>
      <c r="AY62" s="155"/>
      <c r="AZ62" s="155"/>
      <c r="BA62" s="155"/>
      <c r="BB62" s="155"/>
      <c r="BC62" s="155"/>
      <c r="BD62" s="155"/>
    </row>
    <row r="63" spans="1:56" s="90" customFormat="1" ht="44.25" customHeight="1" x14ac:dyDescent="0.25">
      <c r="A63" s="294"/>
      <c r="B63" s="288"/>
      <c r="C63" s="93"/>
      <c r="D63" s="91" t="s">
        <v>35</v>
      </c>
      <c r="E63" s="93"/>
      <c r="F63" s="106" t="s">
        <v>188</v>
      </c>
      <c r="G63" s="88">
        <v>9</v>
      </c>
      <c r="H63" s="87" t="s">
        <v>189</v>
      </c>
      <c r="I63" s="89" t="s">
        <v>288</v>
      </c>
      <c r="J63" s="75"/>
      <c r="K63" s="75"/>
      <c r="L63" s="75"/>
      <c r="M63" s="75"/>
      <c r="N63" s="75"/>
      <c r="O63" s="75">
        <v>1</v>
      </c>
      <c r="P63" s="142"/>
      <c r="Q63" s="75">
        <v>0</v>
      </c>
      <c r="R63" s="75">
        <f t="shared" si="23"/>
        <v>0.70000000000000007</v>
      </c>
      <c r="S63" s="75">
        <f t="shared" si="24"/>
        <v>1.4000000000000001</v>
      </c>
      <c r="T63" s="75">
        <f t="shared" si="25"/>
        <v>2.1</v>
      </c>
      <c r="U63" s="75">
        <f t="shared" si="26"/>
        <v>4.2</v>
      </c>
      <c r="V63" s="75">
        <f t="shared" si="27"/>
        <v>7</v>
      </c>
      <c r="W63" s="140"/>
      <c r="X63" s="75">
        <f t="shared" si="6"/>
        <v>0</v>
      </c>
      <c r="Y63" s="75">
        <f t="shared" si="7"/>
        <v>0</v>
      </c>
      <c r="Z63" s="75">
        <f t="shared" si="8"/>
        <v>0</v>
      </c>
      <c r="AA63" s="75">
        <f t="shared" si="9"/>
        <v>0</v>
      </c>
      <c r="AB63" s="75">
        <f t="shared" si="10"/>
        <v>0</v>
      </c>
      <c r="AC63" s="75">
        <f t="shared" si="11"/>
        <v>7</v>
      </c>
      <c r="AD63" s="75">
        <f t="shared" si="12"/>
        <v>7</v>
      </c>
      <c r="AE63" s="300"/>
      <c r="AF63" s="155"/>
      <c r="AG63" s="155"/>
      <c r="AH63" s="155"/>
      <c r="AI63" s="155"/>
      <c r="AJ63" s="155"/>
      <c r="AK63" s="155"/>
      <c r="AL63" s="155"/>
      <c r="AM63" s="155"/>
      <c r="AN63" s="155"/>
      <c r="AO63" s="155"/>
      <c r="AP63" s="155"/>
      <c r="AQ63" s="155"/>
      <c r="AR63" s="155"/>
      <c r="AS63" s="155"/>
      <c r="AT63" s="155"/>
      <c r="AU63" s="155"/>
      <c r="AV63" s="155"/>
      <c r="AW63" s="155"/>
      <c r="AX63" s="155"/>
      <c r="AY63" s="155"/>
      <c r="AZ63" s="155"/>
      <c r="BA63" s="155"/>
      <c r="BB63" s="155"/>
      <c r="BC63" s="155"/>
      <c r="BD63" s="155"/>
    </row>
    <row r="64" spans="1:56" s="90" customFormat="1" ht="71.25" customHeight="1" x14ac:dyDescent="0.25">
      <c r="A64" s="294"/>
      <c r="B64" s="288"/>
      <c r="C64" s="94"/>
      <c r="D64" s="95"/>
      <c r="E64" s="94"/>
      <c r="F64" s="107"/>
      <c r="G64" s="88">
        <v>10</v>
      </c>
      <c r="H64" s="87" t="s">
        <v>190</v>
      </c>
      <c r="I64" s="89"/>
      <c r="J64" s="75"/>
      <c r="K64" s="75"/>
      <c r="L64" s="75"/>
      <c r="M64" s="75"/>
      <c r="N64" s="75"/>
      <c r="O64" s="75">
        <v>1</v>
      </c>
      <c r="P64" s="143"/>
      <c r="Q64" s="75">
        <v>0</v>
      </c>
      <c r="R64" s="75">
        <f t="shared" si="23"/>
        <v>0.70000000000000007</v>
      </c>
      <c r="S64" s="75">
        <f t="shared" si="24"/>
        <v>1.4000000000000001</v>
      </c>
      <c r="T64" s="75">
        <f t="shared" si="25"/>
        <v>2.1</v>
      </c>
      <c r="U64" s="75">
        <f t="shared" si="26"/>
        <v>4.2</v>
      </c>
      <c r="V64" s="75">
        <f t="shared" si="27"/>
        <v>7</v>
      </c>
      <c r="W64" s="140"/>
      <c r="X64" s="75">
        <f t="shared" si="6"/>
        <v>0</v>
      </c>
      <c r="Y64" s="75">
        <f t="shared" si="7"/>
        <v>0</v>
      </c>
      <c r="Z64" s="75">
        <f t="shared" si="8"/>
        <v>0</v>
      </c>
      <c r="AA64" s="75">
        <f t="shared" si="9"/>
        <v>0</v>
      </c>
      <c r="AB64" s="75">
        <f t="shared" si="10"/>
        <v>0</v>
      </c>
      <c r="AC64" s="75">
        <f t="shared" si="11"/>
        <v>7</v>
      </c>
      <c r="AD64" s="75">
        <f t="shared" si="12"/>
        <v>7</v>
      </c>
      <c r="AE64" s="300"/>
      <c r="AF64" s="155"/>
      <c r="AG64" s="155"/>
      <c r="AH64" s="155"/>
      <c r="AI64" s="155"/>
      <c r="AJ64" s="155"/>
      <c r="AK64" s="155"/>
      <c r="AL64" s="155"/>
      <c r="AM64" s="155"/>
      <c r="AN64" s="155"/>
      <c r="AO64" s="155"/>
      <c r="AP64" s="155"/>
      <c r="AQ64" s="155"/>
      <c r="AR64" s="155"/>
      <c r="AS64" s="155"/>
      <c r="AT64" s="155"/>
      <c r="AU64" s="155"/>
      <c r="AV64" s="155"/>
      <c r="AW64" s="155"/>
      <c r="AX64" s="155"/>
      <c r="AY64" s="155"/>
      <c r="AZ64" s="155"/>
      <c r="BA64" s="155"/>
      <c r="BB64" s="155"/>
      <c r="BC64" s="155"/>
      <c r="BD64" s="155"/>
    </row>
    <row r="65" spans="1:56" s="90" customFormat="1" ht="91.5" customHeight="1" x14ac:dyDescent="0.25">
      <c r="A65" s="294"/>
      <c r="B65" s="288"/>
      <c r="C65" s="94"/>
      <c r="D65" s="95"/>
      <c r="E65" s="94"/>
      <c r="F65" s="107"/>
      <c r="G65" s="88">
        <v>11</v>
      </c>
      <c r="H65" s="87" t="s">
        <v>191</v>
      </c>
      <c r="I65" s="89"/>
      <c r="J65" s="75"/>
      <c r="K65" s="75"/>
      <c r="L65" s="75"/>
      <c r="M65" s="75"/>
      <c r="N65" s="75"/>
      <c r="O65" s="75">
        <v>1</v>
      </c>
      <c r="P65" s="142"/>
      <c r="Q65" s="75">
        <v>0</v>
      </c>
      <c r="R65" s="75">
        <f t="shared" si="23"/>
        <v>0.70000000000000007</v>
      </c>
      <c r="S65" s="75">
        <f t="shared" si="24"/>
        <v>1.4000000000000001</v>
      </c>
      <c r="T65" s="75">
        <f t="shared" si="25"/>
        <v>2.1</v>
      </c>
      <c r="U65" s="75">
        <f t="shared" si="26"/>
        <v>4.2</v>
      </c>
      <c r="V65" s="75">
        <f t="shared" si="27"/>
        <v>7</v>
      </c>
      <c r="W65" s="140"/>
      <c r="X65" s="75">
        <f t="shared" si="6"/>
        <v>0</v>
      </c>
      <c r="Y65" s="75">
        <f t="shared" si="7"/>
        <v>0</v>
      </c>
      <c r="Z65" s="75">
        <f t="shared" si="8"/>
        <v>0</v>
      </c>
      <c r="AA65" s="75">
        <f t="shared" si="9"/>
        <v>0</v>
      </c>
      <c r="AB65" s="75">
        <f t="shared" si="10"/>
        <v>0</v>
      </c>
      <c r="AC65" s="75">
        <f t="shared" si="11"/>
        <v>7</v>
      </c>
      <c r="AD65" s="75">
        <f t="shared" si="12"/>
        <v>7</v>
      </c>
      <c r="AE65" s="300"/>
      <c r="AF65" s="155"/>
      <c r="AG65" s="155"/>
      <c r="AH65" s="155"/>
      <c r="AI65" s="155"/>
      <c r="AJ65" s="155"/>
      <c r="AK65" s="155"/>
      <c r="AL65" s="155"/>
      <c r="AM65" s="155"/>
      <c r="AN65" s="155"/>
      <c r="AO65" s="155"/>
      <c r="AP65" s="155"/>
      <c r="AQ65" s="155"/>
      <c r="AR65" s="155"/>
      <c r="AS65" s="155"/>
      <c r="AT65" s="155"/>
      <c r="AU65" s="155"/>
      <c r="AV65" s="155"/>
      <c r="AW65" s="155"/>
      <c r="AX65" s="155"/>
      <c r="AY65" s="155"/>
      <c r="AZ65" s="155"/>
      <c r="BA65" s="155"/>
      <c r="BB65" s="155"/>
      <c r="BC65" s="155"/>
      <c r="BD65" s="155"/>
    </row>
    <row r="66" spans="1:56" s="90" customFormat="1" ht="186.75" customHeight="1" x14ac:dyDescent="0.25">
      <c r="A66" s="294"/>
      <c r="B66" s="288"/>
      <c r="C66" s="96"/>
      <c r="D66" s="92"/>
      <c r="E66" s="96"/>
      <c r="F66" s="108"/>
      <c r="G66" s="88">
        <v>12</v>
      </c>
      <c r="H66" s="87" t="s">
        <v>192</v>
      </c>
      <c r="I66" s="89"/>
      <c r="J66" s="75"/>
      <c r="K66" s="75"/>
      <c r="L66" s="75"/>
      <c r="M66" s="75"/>
      <c r="N66" s="75"/>
      <c r="O66" s="75">
        <v>1</v>
      </c>
      <c r="P66" s="143"/>
      <c r="Q66" s="75">
        <v>0</v>
      </c>
      <c r="R66" s="75">
        <f t="shared" si="23"/>
        <v>0.70000000000000007</v>
      </c>
      <c r="S66" s="75">
        <f t="shared" si="24"/>
        <v>1.4000000000000001</v>
      </c>
      <c r="T66" s="75">
        <f t="shared" si="25"/>
        <v>2.1</v>
      </c>
      <c r="U66" s="75">
        <f t="shared" si="26"/>
        <v>4.2</v>
      </c>
      <c r="V66" s="75">
        <f t="shared" si="27"/>
        <v>7</v>
      </c>
      <c r="W66" s="140"/>
      <c r="X66" s="75">
        <f t="shared" si="6"/>
        <v>0</v>
      </c>
      <c r="Y66" s="75">
        <f t="shared" si="7"/>
        <v>0</v>
      </c>
      <c r="Z66" s="75">
        <f t="shared" si="8"/>
        <v>0</v>
      </c>
      <c r="AA66" s="75">
        <f t="shared" si="9"/>
        <v>0</v>
      </c>
      <c r="AB66" s="75">
        <f t="shared" si="10"/>
        <v>0</v>
      </c>
      <c r="AC66" s="75">
        <f t="shared" si="11"/>
        <v>7</v>
      </c>
      <c r="AD66" s="75">
        <f t="shared" si="12"/>
        <v>7</v>
      </c>
      <c r="AE66" s="300"/>
      <c r="AF66" s="155"/>
      <c r="AG66" s="155"/>
      <c r="AH66" s="155"/>
      <c r="AI66" s="155"/>
      <c r="AJ66" s="155"/>
      <c r="AK66" s="155"/>
      <c r="AL66" s="155"/>
      <c r="AM66" s="155"/>
      <c r="AN66" s="155"/>
      <c r="AO66" s="155"/>
      <c r="AP66" s="155"/>
      <c r="AQ66" s="155"/>
      <c r="AR66" s="155"/>
      <c r="AS66" s="155"/>
      <c r="AT66" s="155"/>
      <c r="AU66" s="155"/>
      <c r="AV66" s="155"/>
      <c r="AW66" s="155"/>
      <c r="AX66" s="155"/>
      <c r="AY66" s="155"/>
      <c r="AZ66" s="155"/>
      <c r="BA66" s="155"/>
      <c r="BB66" s="155"/>
      <c r="BC66" s="155"/>
      <c r="BD66" s="155"/>
    </row>
    <row r="67" spans="1:56" s="90" customFormat="1" ht="93" customHeight="1" x14ac:dyDescent="0.25">
      <c r="A67" s="294"/>
      <c r="B67" s="288"/>
      <c r="C67" s="86"/>
      <c r="D67" s="110" t="s">
        <v>36</v>
      </c>
      <c r="E67" s="86"/>
      <c r="F67" s="111" t="s">
        <v>193</v>
      </c>
      <c r="G67" s="88">
        <v>13</v>
      </c>
      <c r="H67" s="87" t="s">
        <v>194</v>
      </c>
      <c r="I67" s="89" t="s">
        <v>289</v>
      </c>
      <c r="J67" s="75"/>
      <c r="K67" s="75"/>
      <c r="L67" s="75"/>
      <c r="M67" s="75"/>
      <c r="N67" s="75"/>
      <c r="O67" s="75">
        <v>1</v>
      </c>
      <c r="P67" s="142"/>
      <c r="Q67" s="75">
        <v>0</v>
      </c>
      <c r="R67" s="75">
        <f t="shared" si="23"/>
        <v>0.70000000000000007</v>
      </c>
      <c r="S67" s="75">
        <f t="shared" si="24"/>
        <v>1.4000000000000001</v>
      </c>
      <c r="T67" s="75">
        <f t="shared" si="25"/>
        <v>2.1</v>
      </c>
      <c r="U67" s="75">
        <f t="shared" si="26"/>
        <v>4.2</v>
      </c>
      <c r="V67" s="75">
        <f t="shared" si="27"/>
        <v>7</v>
      </c>
      <c r="W67" s="140"/>
      <c r="X67" s="75">
        <f t="shared" si="6"/>
        <v>0</v>
      </c>
      <c r="Y67" s="75">
        <f t="shared" si="7"/>
        <v>0</v>
      </c>
      <c r="Z67" s="75">
        <f t="shared" si="8"/>
        <v>0</v>
      </c>
      <c r="AA67" s="75">
        <f t="shared" si="9"/>
        <v>0</v>
      </c>
      <c r="AB67" s="75">
        <f t="shared" si="10"/>
        <v>0</v>
      </c>
      <c r="AC67" s="75">
        <f t="shared" si="11"/>
        <v>7</v>
      </c>
      <c r="AD67" s="75">
        <f t="shared" si="12"/>
        <v>7</v>
      </c>
      <c r="AE67" s="300"/>
      <c r="AF67" s="155"/>
      <c r="AG67" s="155"/>
      <c r="AH67" s="155"/>
      <c r="AI67" s="155"/>
      <c r="AJ67" s="155"/>
      <c r="AK67" s="155"/>
      <c r="AL67" s="155"/>
      <c r="AM67" s="155"/>
      <c r="AN67" s="155"/>
      <c r="AO67" s="155"/>
      <c r="AP67" s="155"/>
      <c r="AQ67" s="155"/>
      <c r="AR67" s="155"/>
      <c r="AS67" s="155"/>
      <c r="AT67" s="155"/>
      <c r="AU67" s="155"/>
      <c r="AV67" s="155"/>
      <c r="AW67" s="155"/>
      <c r="AX67" s="155"/>
      <c r="AY67" s="155"/>
      <c r="AZ67" s="155"/>
      <c r="BA67" s="155"/>
      <c r="BB67" s="155"/>
      <c r="BC67" s="155"/>
      <c r="BD67" s="155"/>
    </row>
    <row r="68" spans="1:56" s="90" customFormat="1" ht="69" customHeight="1" x14ac:dyDescent="0.25">
      <c r="A68" s="294"/>
      <c r="B68" s="288"/>
      <c r="C68" s="93"/>
      <c r="D68" s="91" t="s">
        <v>37</v>
      </c>
      <c r="E68" s="93"/>
      <c r="F68" s="106" t="s">
        <v>195</v>
      </c>
      <c r="G68" s="88">
        <v>14</v>
      </c>
      <c r="H68" s="87" t="s">
        <v>196</v>
      </c>
      <c r="I68" s="98"/>
      <c r="J68" s="75"/>
      <c r="K68" s="75"/>
      <c r="L68" s="75"/>
      <c r="M68" s="75"/>
      <c r="N68" s="75"/>
      <c r="O68" s="75">
        <v>1</v>
      </c>
      <c r="P68" s="143"/>
      <c r="Q68" s="75">
        <v>0</v>
      </c>
      <c r="R68" s="75">
        <f t="shared" si="23"/>
        <v>0.70000000000000007</v>
      </c>
      <c r="S68" s="75">
        <f t="shared" si="24"/>
        <v>1.4000000000000001</v>
      </c>
      <c r="T68" s="75">
        <f t="shared" si="25"/>
        <v>2.1</v>
      </c>
      <c r="U68" s="75">
        <f t="shared" si="26"/>
        <v>4.2</v>
      </c>
      <c r="V68" s="75">
        <f t="shared" si="27"/>
        <v>7</v>
      </c>
      <c r="W68" s="140"/>
      <c r="X68" s="75">
        <f t="shared" si="6"/>
        <v>0</v>
      </c>
      <c r="Y68" s="75">
        <f t="shared" si="7"/>
        <v>0</v>
      </c>
      <c r="Z68" s="75">
        <f t="shared" si="8"/>
        <v>0</v>
      </c>
      <c r="AA68" s="75">
        <f t="shared" si="9"/>
        <v>0</v>
      </c>
      <c r="AB68" s="75">
        <f t="shared" si="10"/>
        <v>0</v>
      </c>
      <c r="AC68" s="75">
        <f t="shared" si="11"/>
        <v>7</v>
      </c>
      <c r="AD68" s="75">
        <f t="shared" si="12"/>
        <v>7</v>
      </c>
      <c r="AE68" s="300"/>
      <c r="AF68" s="155"/>
      <c r="AG68" s="155"/>
      <c r="AH68" s="155"/>
      <c r="AI68" s="155"/>
      <c r="AJ68" s="155"/>
      <c r="AK68" s="155"/>
      <c r="AL68" s="155"/>
      <c r="AM68" s="155"/>
      <c r="AN68" s="155"/>
      <c r="AO68" s="155"/>
      <c r="AP68" s="155"/>
      <c r="AQ68" s="155"/>
      <c r="AR68" s="155"/>
      <c r="AS68" s="155"/>
      <c r="AT68" s="155"/>
      <c r="AU68" s="155"/>
      <c r="AV68" s="155"/>
      <c r="AW68" s="155"/>
      <c r="AX68" s="155"/>
      <c r="AY68" s="155"/>
      <c r="AZ68" s="155"/>
      <c r="BA68" s="155"/>
      <c r="BB68" s="155"/>
      <c r="BC68" s="155"/>
      <c r="BD68" s="155"/>
    </row>
    <row r="69" spans="1:56" s="90" customFormat="1" ht="102.75" customHeight="1" x14ac:dyDescent="0.25">
      <c r="A69" s="294"/>
      <c r="B69" s="288"/>
      <c r="C69" s="94"/>
      <c r="D69" s="95"/>
      <c r="E69" s="94"/>
      <c r="F69" s="107"/>
      <c r="G69" s="88">
        <v>15</v>
      </c>
      <c r="H69" s="87" t="s">
        <v>197</v>
      </c>
      <c r="I69" s="112"/>
      <c r="J69" s="75"/>
      <c r="K69" s="75"/>
      <c r="L69" s="75"/>
      <c r="M69" s="75"/>
      <c r="N69" s="75"/>
      <c r="O69" s="75">
        <v>1</v>
      </c>
      <c r="P69" s="142"/>
      <c r="Q69" s="75">
        <v>0</v>
      </c>
      <c r="R69" s="75">
        <f t="shared" si="23"/>
        <v>0.70000000000000007</v>
      </c>
      <c r="S69" s="75">
        <f t="shared" si="24"/>
        <v>1.4000000000000001</v>
      </c>
      <c r="T69" s="75">
        <f t="shared" si="25"/>
        <v>2.1</v>
      </c>
      <c r="U69" s="75">
        <f t="shared" si="26"/>
        <v>4.2</v>
      </c>
      <c r="V69" s="75">
        <f t="shared" si="27"/>
        <v>7</v>
      </c>
      <c r="W69" s="140"/>
      <c r="X69" s="75">
        <f t="shared" si="6"/>
        <v>0</v>
      </c>
      <c r="Y69" s="75">
        <f t="shared" si="7"/>
        <v>0</v>
      </c>
      <c r="Z69" s="75">
        <f t="shared" si="8"/>
        <v>0</v>
      </c>
      <c r="AA69" s="75">
        <f t="shared" si="9"/>
        <v>0</v>
      </c>
      <c r="AB69" s="75">
        <f t="shared" si="10"/>
        <v>0</v>
      </c>
      <c r="AC69" s="75">
        <f t="shared" si="11"/>
        <v>7</v>
      </c>
      <c r="AD69" s="75">
        <f t="shared" si="12"/>
        <v>7</v>
      </c>
      <c r="AE69" s="300"/>
      <c r="AF69" s="155"/>
      <c r="AG69" s="155"/>
      <c r="AH69" s="155"/>
      <c r="AI69" s="155"/>
      <c r="AJ69" s="155"/>
      <c r="AK69" s="155"/>
      <c r="AL69" s="155"/>
      <c r="AM69" s="155"/>
      <c r="AN69" s="155"/>
      <c r="AO69" s="155"/>
      <c r="AP69" s="155"/>
      <c r="AQ69" s="155"/>
      <c r="AR69" s="155"/>
      <c r="AS69" s="155"/>
      <c r="AT69" s="155"/>
      <c r="AU69" s="155"/>
      <c r="AV69" s="155"/>
      <c r="AW69" s="155"/>
      <c r="AX69" s="155"/>
      <c r="AY69" s="155"/>
      <c r="AZ69" s="155"/>
      <c r="BA69" s="155"/>
      <c r="BB69" s="155"/>
      <c r="BC69" s="155"/>
      <c r="BD69" s="155"/>
    </row>
    <row r="70" spans="1:56" s="90" customFormat="1" ht="92.25" customHeight="1" x14ac:dyDescent="0.25">
      <c r="A70" s="294"/>
      <c r="B70" s="288"/>
      <c r="C70" s="94"/>
      <c r="D70" s="95"/>
      <c r="E70" s="94"/>
      <c r="F70" s="107"/>
      <c r="G70" s="88">
        <v>16</v>
      </c>
      <c r="H70" s="87" t="s">
        <v>198</v>
      </c>
      <c r="I70" s="112"/>
      <c r="J70" s="75"/>
      <c r="K70" s="75"/>
      <c r="L70" s="75"/>
      <c r="M70" s="75"/>
      <c r="N70" s="75"/>
      <c r="O70" s="75">
        <v>1</v>
      </c>
      <c r="P70" s="143"/>
      <c r="Q70" s="75">
        <v>0</v>
      </c>
      <c r="R70" s="75">
        <f t="shared" si="23"/>
        <v>0.70000000000000007</v>
      </c>
      <c r="S70" s="75">
        <f t="shared" si="24"/>
        <v>1.4000000000000001</v>
      </c>
      <c r="T70" s="75">
        <f t="shared" si="25"/>
        <v>2.1</v>
      </c>
      <c r="U70" s="75">
        <f t="shared" si="26"/>
        <v>4.2</v>
      </c>
      <c r="V70" s="75">
        <f t="shared" si="27"/>
        <v>7</v>
      </c>
      <c r="W70" s="140"/>
      <c r="X70" s="75">
        <f t="shared" ref="X70:X133" si="28">J70*Q70</f>
        <v>0</v>
      </c>
      <c r="Y70" s="75">
        <f t="shared" ref="Y70:Y133" si="29">K70*R70</f>
        <v>0</v>
      </c>
      <c r="Z70" s="75">
        <f t="shared" ref="Z70:Z133" si="30">L70*S70</f>
        <v>0</v>
      </c>
      <c r="AA70" s="75">
        <f t="shared" ref="AA70:AA133" si="31">M70*T70</f>
        <v>0</v>
      </c>
      <c r="AB70" s="75">
        <f t="shared" ref="AB70:AB133" si="32">N70*U70</f>
        <v>0</v>
      </c>
      <c r="AC70" s="75">
        <f t="shared" ref="AC70:AC133" si="33">O70*V70</f>
        <v>7</v>
      </c>
      <c r="AD70" s="75">
        <f t="shared" ref="AD70:AD133" si="34">X70+Y70+Z70+AA70+AB70+AC70</f>
        <v>7</v>
      </c>
      <c r="AE70" s="300"/>
      <c r="AF70" s="155"/>
      <c r="AG70" s="155"/>
      <c r="AH70" s="155"/>
      <c r="AI70" s="155"/>
      <c r="AJ70" s="155"/>
      <c r="AK70" s="155"/>
      <c r="AL70" s="155"/>
      <c r="AM70" s="155"/>
      <c r="AN70" s="155"/>
      <c r="AO70" s="155"/>
      <c r="AP70" s="155"/>
      <c r="AQ70" s="155"/>
      <c r="AR70" s="155"/>
      <c r="AS70" s="155"/>
      <c r="AT70" s="155"/>
      <c r="AU70" s="155"/>
      <c r="AV70" s="155"/>
      <c r="AW70" s="155"/>
      <c r="AX70" s="155"/>
      <c r="AY70" s="155"/>
      <c r="AZ70" s="155"/>
      <c r="BA70" s="155"/>
      <c r="BB70" s="155"/>
      <c r="BC70" s="155"/>
      <c r="BD70" s="155"/>
    </row>
    <row r="71" spans="1:56" s="90" customFormat="1" ht="101.25" customHeight="1" x14ac:dyDescent="0.25">
      <c r="A71" s="295"/>
      <c r="B71" s="289"/>
      <c r="C71" s="96"/>
      <c r="D71" s="92"/>
      <c r="E71" s="96"/>
      <c r="F71" s="108"/>
      <c r="G71" s="88">
        <v>17</v>
      </c>
      <c r="H71" s="87" t="s">
        <v>199</v>
      </c>
      <c r="I71" s="113"/>
      <c r="J71" s="75"/>
      <c r="K71" s="75"/>
      <c r="L71" s="75"/>
      <c r="M71" s="75"/>
      <c r="N71" s="75"/>
      <c r="O71" s="75">
        <v>1</v>
      </c>
      <c r="P71" s="142"/>
      <c r="Q71" s="75">
        <v>0</v>
      </c>
      <c r="R71" s="75">
        <f t="shared" si="23"/>
        <v>0.70000000000000007</v>
      </c>
      <c r="S71" s="75">
        <f t="shared" si="24"/>
        <v>1.4000000000000001</v>
      </c>
      <c r="T71" s="75">
        <f t="shared" si="25"/>
        <v>2.1</v>
      </c>
      <c r="U71" s="75">
        <f t="shared" si="26"/>
        <v>4.2</v>
      </c>
      <c r="V71" s="75">
        <f t="shared" si="27"/>
        <v>7</v>
      </c>
      <c r="W71" s="140"/>
      <c r="X71" s="75">
        <f t="shared" si="28"/>
        <v>0</v>
      </c>
      <c r="Y71" s="75">
        <f t="shared" si="29"/>
        <v>0</v>
      </c>
      <c r="Z71" s="75">
        <f t="shared" si="30"/>
        <v>0</v>
      </c>
      <c r="AA71" s="75">
        <f t="shared" si="31"/>
        <v>0</v>
      </c>
      <c r="AB71" s="75">
        <f t="shared" si="32"/>
        <v>0</v>
      </c>
      <c r="AC71" s="75">
        <f t="shared" si="33"/>
        <v>7</v>
      </c>
      <c r="AD71" s="75">
        <f t="shared" si="34"/>
        <v>7</v>
      </c>
      <c r="AE71" s="301"/>
      <c r="AF71" s="155"/>
      <c r="AG71" s="155"/>
      <c r="AH71" s="155"/>
      <c r="AI71" s="155"/>
      <c r="AJ71" s="155"/>
      <c r="AK71" s="155"/>
      <c r="AL71" s="155"/>
      <c r="AM71" s="155"/>
      <c r="AN71" s="155"/>
      <c r="AO71" s="155"/>
      <c r="AP71" s="155"/>
      <c r="AQ71" s="155"/>
      <c r="AR71" s="155"/>
      <c r="AS71" s="155"/>
      <c r="AT71" s="155"/>
      <c r="AU71" s="155"/>
      <c r="AV71" s="155"/>
      <c r="AW71" s="155"/>
      <c r="AX71" s="155"/>
      <c r="AY71" s="155"/>
      <c r="AZ71" s="155"/>
      <c r="BA71" s="155"/>
      <c r="BB71" s="155"/>
      <c r="BC71" s="155"/>
      <c r="BD71" s="155"/>
    </row>
    <row r="72" spans="1:56" s="90" customFormat="1" ht="132" customHeight="1" x14ac:dyDescent="0.25">
      <c r="A72" s="114">
        <v>4</v>
      </c>
      <c r="B72" s="139" t="s">
        <v>38</v>
      </c>
      <c r="C72" s="86"/>
      <c r="D72" s="87" t="s">
        <v>39</v>
      </c>
      <c r="E72" s="88"/>
      <c r="F72" s="109" t="s">
        <v>200</v>
      </c>
      <c r="G72" s="88">
        <v>1</v>
      </c>
      <c r="H72" s="87" t="s">
        <v>201</v>
      </c>
      <c r="I72" s="89" t="s">
        <v>289</v>
      </c>
      <c r="J72" s="75"/>
      <c r="K72" s="75"/>
      <c r="L72" s="75"/>
      <c r="M72" s="75"/>
      <c r="N72" s="75"/>
      <c r="O72" s="75">
        <v>1</v>
      </c>
      <c r="P72" s="143"/>
      <c r="Q72" s="75">
        <v>0</v>
      </c>
      <c r="R72" s="75">
        <f>60*0.1</f>
        <v>6</v>
      </c>
      <c r="S72" s="75">
        <f>60*0.2</f>
        <v>12</v>
      </c>
      <c r="T72" s="75">
        <f>60*0.3</f>
        <v>18</v>
      </c>
      <c r="U72" s="75">
        <f>60*0.6</f>
        <v>36</v>
      </c>
      <c r="V72" s="75">
        <f>60*1</f>
        <v>60</v>
      </c>
      <c r="W72" s="140"/>
      <c r="X72" s="75">
        <f t="shared" si="28"/>
        <v>0</v>
      </c>
      <c r="Y72" s="75">
        <f t="shared" si="29"/>
        <v>0</v>
      </c>
      <c r="Z72" s="75">
        <f t="shared" si="30"/>
        <v>0</v>
      </c>
      <c r="AA72" s="75">
        <f t="shared" si="31"/>
        <v>0</v>
      </c>
      <c r="AB72" s="75">
        <f t="shared" si="32"/>
        <v>0</v>
      </c>
      <c r="AC72" s="75">
        <f t="shared" si="33"/>
        <v>60</v>
      </c>
      <c r="AD72" s="75">
        <f t="shared" si="34"/>
        <v>60</v>
      </c>
      <c r="AE72" s="115">
        <f>+AD72</f>
        <v>60</v>
      </c>
      <c r="AF72" s="155"/>
      <c r="AG72" s="155"/>
      <c r="AH72" s="155"/>
      <c r="AI72" s="155"/>
      <c r="AJ72" s="155"/>
      <c r="AK72" s="155"/>
      <c r="AL72" s="155"/>
      <c r="AM72" s="155"/>
      <c r="AN72" s="155"/>
      <c r="AO72" s="155"/>
      <c r="AP72" s="155"/>
      <c r="AQ72" s="155"/>
      <c r="AR72" s="155"/>
      <c r="AS72" s="155"/>
      <c r="AT72" s="155"/>
      <c r="AU72" s="155"/>
      <c r="AV72" s="155"/>
      <c r="AW72" s="155"/>
      <c r="AX72" s="155"/>
      <c r="AY72" s="155"/>
      <c r="AZ72" s="155"/>
      <c r="BA72" s="155"/>
      <c r="BB72" s="155"/>
      <c r="BC72" s="155"/>
      <c r="BD72" s="155"/>
    </row>
    <row r="73" spans="1:56" s="90" customFormat="1" ht="75" customHeight="1" x14ac:dyDescent="0.25">
      <c r="A73" s="293">
        <v>5</v>
      </c>
      <c r="B73" s="287" t="s">
        <v>40</v>
      </c>
      <c r="C73" s="93"/>
      <c r="D73" s="91" t="s">
        <v>41</v>
      </c>
      <c r="E73" s="93"/>
      <c r="F73" s="106" t="s">
        <v>202</v>
      </c>
      <c r="G73" s="88">
        <v>1</v>
      </c>
      <c r="H73" s="87" t="s">
        <v>203</v>
      </c>
      <c r="I73" s="98"/>
      <c r="J73" s="75"/>
      <c r="K73" s="75"/>
      <c r="L73" s="75"/>
      <c r="M73" s="75"/>
      <c r="N73" s="75"/>
      <c r="O73" s="75">
        <v>1</v>
      </c>
      <c r="P73" s="142"/>
      <c r="Q73" s="75">
        <v>0</v>
      </c>
      <c r="R73" s="75">
        <f>20*0.1</f>
        <v>2</v>
      </c>
      <c r="S73" s="75">
        <f>20*0.2</f>
        <v>4</v>
      </c>
      <c r="T73" s="75">
        <f>20*0.3</f>
        <v>6</v>
      </c>
      <c r="U73" s="75">
        <f>20*0.6</f>
        <v>12</v>
      </c>
      <c r="V73" s="75">
        <f>20*1</f>
        <v>20</v>
      </c>
      <c r="W73" s="140"/>
      <c r="X73" s="75">
        <f t="shared" si="28"/>
        <v>0</v>
      </c>
      <c r="Y73" s="75">
        <f t="shared" si="29"/>
        <v>0</v>
      </c>
      <c r="Z73" s="75">
        <f t="shared" si="30"/>
        <v>0</v>
      </c>
      <c r="AA73" s="75">
        <f t="shared" si="31"/>
        <v>0</v>
      </c>
      <c r="AB73" s="75">
        <f t="shared" si="32"/>
        <v>0</v>
      </c>
      <c r="AC73" s="75">
        <f t="shared" si="33"/>
        <v>20</v>
      </c>
      <c r="AD73" s="75">
        <f t="shared" si="34"/>
        <v>20</v>
      </c>
      <c r="AE73" s="299">
        <f>+SUM(AD73:AD78)</f>
        <v>120</v>
      </c>
      <c r="AF73" s="155"/>
      <c r="AG73" s="155"/>
      <c r="AH73" s="155"/>
      <c r="AI73" s="155"/>
      <c r="AJ73" s="155"/>
      <c r="AK73" s="155"/>
      <c r="AL73" s="155"/>
      <c r="AM73" s="155"/>
      <c r="AN73" s="155"/>
      <c r="AO73" s="155"/>
      <c r="AP73" s="155"/>
      <c r="AQ73" s="155"/>
      <c r="AR73" s="155"/>
      <c r="AS73" s="155"/>
      <c r="AT73" s="155"/>
      <c r="AU73" s="155"/>
      <c r="AV73" s="155"/>
      <c r="AW73" s="155"/>
      <c r="AX73" s="155"/>
      <c r="AY73" s="155"/>
      <c r="AZ73" s="155"/>
      <c r="BA73" s="155"/>
      <c r="BB73" s="155"/>
      <c r="BC73" s="155"/>
      <c r="BD73" s="155"/>
    </row>
    <row r="74" spans="1:56" s="90" customFormat="1" ht="51" customHeight="1" x14ac:dyDescent="0.25">
      <c r="A74" s="294"/>
      <c r="B74" s="288"/>
      <c r="C74" s="94"/>
      <c r="D74" s="95"/>
      <c r="E74" s="94"/>
      <c r="F74" s="107"/>
      <c r="G74" s="88">
        <v>2</v>
      </c>
      <c r="H74" s="87" t="s">
        <v>204</v>
      </c>
      <c r="I74" s="112"/>
      <c r="J74" s="75"/>
      <c r="K74" s="75"/>
      <c r="L74" s="75"/>
      <c r="M74" s="75"/>
      <c r="N74" s="75"/>
      <c r="O74" s="75">
        <v>1</v>
      </c>
      <c r="P74" s="143"/>
      <c r="Q74" s="75">
        <v>0</v>
      </c>
      <c r="R74" s="75">
        <f t="shared" ref="R74:R78" si="35">20*0.1</f>
        <v>2</v>
      </c>
      <c r="S74" s="75">
        <f t="shared" ref="S74:S78" si="36">20*0.2</f>
        <v>4</v>
      </c>
      <c r="T74" s="75">
        <f t="shared" ref="T74:T78" si="37">20*0.3</f>
        <v>6</v>
      </c>
      <c r="U74" s="75">
        <f t="shared" ref="U74:U78" si="38">20*0.6</f>
        <v>12</v>
      </c>
      <c r="V74" s="75">
        <f t="shared" ref="V74:V78" si="39">20*1</f>
        <v>20</v>
      </c>
      <c r="W74" s="140"/>
      <c r="X74" s="75">
        <f t="shared" si="28"/>
        <v>0</v>
      </c>
      <c r="Y74" s="75">
        <f t="shared" si="29"/>
        <v>0</v>
      </c>
      <c r="Z74" s="75">
        <f t="shared" si="30"/>
        <v>0</v>
      </c>
      <c r="AA74" s="75">
        <f t="shared" si="31"/>
        <v>0</v>
      </c>
      <c r="AB74" s="75">
        <f t="shared" si="32"/>
        <v>0</v>
      </c>
      <c r="AC74" s="75">
        <f t="shared" si="33"/>
        <v>20</v>
      </c>
      <c r="AD74" s="75">
        <f t="shared" si="34"/>
        <v>20</v>
      </c>
      <c r="AE74" s="300"/>
      <c r="AF74" s="155"/>
      <c r="AG74" s="155"/>
      <c r="AH74" s="155"/>
      <c r="AI74" s="155"/>
      <c r="AJ74" s="155"/>
      <c r="AK74" s="155"/>
      <c r="AL74" s="155"/>
      <c r="AM74" s="155"/>
      <c r="AN74" s="155"/>
      <c r="AO74" s="155"/>
      <c r="AP74" s="155"/>
      <c r="AQ74" s="155"/>
      <c r="AR74" s="155"/>
      <c r="AS74" s="155"/>
      <c r="AT74" s="155"/>
      <c r="AU74" s="155"/>
      <c r="AV74" s="155"/>
      <c r="AW74" s="155"/>
      <c r="AX74" s="155"/>
      <c r="AY74" s="155"/>
      <c r="AZ74" s="155"/>
      <c r="BA74" s="155"/>
      <c r="BB74" s="155"/>
      <c r="BC74" s="155"/>
      <c r="BD74" s="155"/>
    </row>
    <row r="75" spans="1:56" s="90" customFormat="1" ht="51.75" customHeight="1" x14ac:dyDescent="0.25">
      <c r="A75" s="294"/>
      <c r="B75" s="288"/>
      <c r="C75" s="96"/>
      <c r="D75" s="92"/>
      <c r="E75" s="96"/>
      <c r="F75" s="108"/>
      <c r="G75" s="88">
        <v>3</v>
      </c>
      <c r="H75" s="87" t="s">
        <v>205</v>
      </c>
      <c r="I75" s="113"/>
      <c r="J75" s="75"/>
      <c r="K75" s="75"/>
      <c r="L75" s="75"/>
      <c r="M75" s="75"/>
      <c r="N75" s="75"/>
      <c r="O75" s="75">
        <v>1</v>
      </c>
      <c r="P75" s="142"/>
      <c r="Q75" s="75">
        <v>0</v>
      </c>
      <c r="R75" s="75">
        <f t="shared" si="35"/>
        <v>2</v>
      </c>
      <c r="S75" s="75">
        <f t="shared" si="36"/>
        <v>4</v>
      </c>
      <c r="T75" s="75">
        <f t="shared" si="37"/>
        <v>6</v>
      </c>
      <c r="U75" s="75">
        <f t="shared" si="38"/>
        <v>12</v>
      </c>
      <c r="V75" s="75">
        <f t="shared" si="39"/>
        <v>20</v>
      </c>
      <c r="W75" s="140"/>
      <c r="X75" s="75">
        <f t="shared" si="28"/>
        <v>0</v>
      </c>
      <c r="Y75" s="75">
        <f t="shared" si="29"/>
        <v>0</v>
      </c>
      <c r="Z75" s="75">
        <f t="shared" si="30"/>
        <v>0</v>
      </c>
      <c r="AA75" s="75">
        <f t="shared" si="31"/>
        <v>0</v>
      </c>
      <c r="AB75" s="75">
        <f t="shared" si="32"/>
        <v>0</v>
      </c>
      <c r="AC75" s="75">
        <f t="shared" si="33"/>
        <v>20</v>
      </c>
      <c r="AD75" s="75">
        <f t="shared" si="34"/>
        <v>20</v>
      </c>
      <c r="AE75" s="300"/>
      <c r="AF75" s="155"/>
      <c r="AG75" s="155"/>
      <c r="AH75" s="155"/>
      <c r="AI75" s="155"/>
      <c r="AJ75" s="155"/>
      <c r="AK75" s="155"/>
      <c r="AL75" s="155"/>
      <c r="AM75" s="155"/>
      <c r="AN75" s="155"/>
      <c r="AO75" s="155"/>
      <c r="AP75" s="155"/>
      <c r="AQ75" s="155"/>
      <c r="AR75" s="155"/>
      <c r="AS75" s="155"/>
      <c r="AT75" s="155"/>
      <c r="AU75" s="155"/>
      <c r="AV75" s="155"/>
      <c r="AW75" s="155"/>
      <c r="AX75" s="155"/>
      <c r="AY75" s="155"/>
      <c r="AZ75" s="155"/>
      <c r="BA75" s="155"/>
      <c r="BB75" s="155"/>
      <c r="BC75" s="155"/>
      <c r="BD75" s="155"/>
    </row>
    <row r="76" spans="1:56" s="90" customFormat="1" ht="119.25" customHeight="1" x14ac:dyDescent="0.25">
      <c r="A76" s="294"/>
      <c r="B76" s="288"/>
      <c r="C76" s="93"/>
      <c r="D76" s="91" t="s">
        <v>42</v>
      </c>
      <c r="E76" s="93"/>
      <c r="F76" s="91" t="s">
        <v>206</v>
      </c>
      <c r="G76" s="88">
        <v>4</v>
      </c>
      <c r="H76" s="87" t="s">
        <v>207</v>
      </c>
      <c r="I76" s="98"/>
      <c r="J76" s="75"/>
      <c r="K76" s="75"/>
      <c r="L76" s="75"/>
      <c r="M76" s="75"/>
      <c r="N76" s="75"/>
      <c r="O76" s="75">
        <v>1</v>
      </c>
      <c r="P76" s="143"/>
      <c r="Q76" s="75">
        <v>0</v>
      </c>
      <c r="R76" s="75">
        <f t="shared" si="35"/>
        <v>2</v>
      </c>
      <c r="S76" s="75">
        <f t="shared" si="36"/>
        <v>4</v>
      </c>
      <c r="T76" s="75">
        <f t="shared" si="37"/>
        <v>6</v>
      </c>
      <c r="U76" s="75">
        <f t="shared" si="38"/>
        <v>12</v>
      </c>
      <c r="V76" s="75">
        <f t="shared" si="39"/>
        <v>20</v>
      </c>
      <c r="W76" s="140"/>
      <c r="X76" s="75">
        <f t="shared" si="28"/>
        <v>0</v>
      </c>
      <c r="Y76" s="75">
        <f t="shared" si="29"/>
        <v>0</v>
      </c>
      <c r="Z76" s="75">
        <f t="shared" si="30"/>
        <v>0</v>
      </c>
      <c r="AA76" s="75">
        <f t="shared" si="31"/>
        <v>0</v>
      </c>
      <c r="AB76" s="75">
        <f t="shared" si="32"/>
        <v>0</v>
      </c>
      <c r="AC76" s="75">
        <f t="shared" si="33"/>
        <v>20</v>
      </c>
      <c r="AD76" s="75">
        <f t="shared" si="34"/>
        <v>20</v>
      </c>
      <c r="AE76" s="300"/>
      <c r="AF76" s="155"/>
      <c r="AG76" s="155"/>
      <c r="AH76" s="155"/>
      <c r="AI76" s="155"/>
      <c r="AJ76" s="155"/>
      <c r="AK76" s="155"/>
      <c r="AL76" s="155"/>
      <c r="AM76" s="155"/>
      <c r="AN76" s="155"/>
      <c r="AO76" s="155"/>
      <c r="AP76" s="155"/>
      <c r="AQ76" s="155"/>
      <c r="AR76" s="155"/>
      <c r="AS76" s="155"/>
      <c r="AT76" s="155"/>
      <c r="AU76" s="155"/>
      <c r="AV76" s="155"/>
      <c r="AW76" s="155"/>
      <c r="AX76" s="155"/>
      <c r="AY76" s="155"/>
      <c r="AZ76" s="155"/>
      <c r="BA76" s="155"/>
      <c r="BB76" s="155"/>
      <c r="BC76" s="155"/>
      <c r="BD76" s="155"/>
    </row>
    <row r="77" spans="1:56" s="90" customFormat="1" ht="105.75" customHeight="1" x14ac:dyDescent="0.25">
      <c r="A77" s="294"/>
      <c r="B77" s="288"/>
      <c r="C77" s="96"/>
      <c r="D77" s="92"/>
      <c r="E77" s="96"/>
      <c r="F77" s="92"/>
      <c r="G77" s="88">
        <v>5</v>
      </c>
      <c r="H77" s="87" t="s">
        <v>208</v>
      </c>
      <c r="I77" s="113"/>
      <c r="J77" s="75"/>
      <c r="K77" s="75"/>
      <c r="L77" s="75"/>
      <c r="M77" s="75"/>
      <c r="N77" s="75"/>
      <c r="O77" s="75">
        <v>1</v>
      </c>
      <c r="P77" s="142"/>
      <c r="Q77" s="75">
        <v>0</v>
      </c>
      <c r="R77" s="75">
        <f t="shared" si="35"/>
        <v>2</v>
      </c>
      <c r="S77" s="75">
        <f t="shared" si="36"/>
        <v>4</v>
      </c>
      <c r="T77" s="75">
        <f t="shared" si="37"/>
        <v>6</v>
      </c>
      <c r="U77" s="75">
        <f t="shared" si="38"/>
        <v>12</v>
      </c>
      <c r="V77" s="75">
        <f t="shared" si="39"/>
        <v>20</v>
      </c>
      <c r="W77" s="140"/>
      <c r="X77" s="75">
        <f t="shared" si="28"/>
        <v>0</v>
      </c>
      <c r="Y77" s="75">
        <f t="shared" si="29"/>
        <v>0</v>
      </c>
      <c r="Z77" s="75">
        <f t="shared" si="30"/>
        <v>0</v>
      </c>
      <c r="AA77" s="75">
        <f t="shared" si="31"/>
        <v>0</v>
      </c>
      <c r="AB77" s="75">
        <f t="shared" si="32"/>
        <v>0</v>
      </c>
      <c r="AC77" s="75">
        <f t="shared" si="33"/>
        <v>20</v>
      </c>
      <c r="AD77" s="75">
        <f t="shared" si="34"/>
        <v>20</v>
      </c>
      <c r="AE77" s="300"/>
      <c r="AF77" s="155"/>
      <c r="AG77" s="155"/>
      <c r="AH77" s="155"/>
      <c r="AI77" s="155"/>
      <c r="AJ77" s="155"/>
      <c r="AK77" s="155"/>
      <c r="AL77" s="155"/>
      <c r="AM77" s="155"/>
      <c r="AN77" s="155"/>
      <c r="AO77" s="155"/>
      <c r="AP77" s="155"/>
      <c r="AQ77" s="155"/>
      <c r="AR77" s="155"/>
      <c r="AS77" s="155"/>
      <c r="AT77" s="155"/>
      <c r="AU77" s="155"/>
      <c r="AV77" s="155"/>
      <c r="AW77" s="155"/>
      <c r="AX77" s="155"/>
      <c r="AY77" s="155"/>
      <c r="AZ77" s="155"/>
      <c r="BA77" s="155"/>
      <c r="BB77" s="155"/>
      <c r="BC77" s="155"/>
      <c r="BD77" s="155"/>
    </row>
    <row r="78" spans="1:56" s="90" customFormat="1" ht="147" customHeight="1" x14ac:dyDescent="0.25">
      <c r="A78" s="295"/>
      <c r="B78" s="289"/>
      <c r="C78" s="86"/>
      <c r="D78" s="110" t="s">
        <v>43</v>
      </c>
      <c r="E78" s="86"/>
      <c r="F78" s="87" t="s">
        <v>209</v>
      </c>
      <c r="G78" s="88">
        <v>6</v>
      </c>
      <c r="H78" s="87" t="s">
        <v>210</v>
      </c>
      <c r="I78" s="89"/>
      <c r="J78" s="75"/>
      <c r="K78" s="75"/>
      <c r="L78" s="75"/>
      <c r="M78" s="75"/>
      <c r="N78" s="75"/>
      <c r="O78" s="75">
        <v>1</v>
      </c>
      <c r="P78" s="143"/>
      <c r="Q78" s="75">
        <v>0</v>
      </c>
      <c r="R78" s="75">
        <f t="shared" si="35"/>
        <v>2</v>
      </c>
      <c r="S78" s="75">
        <f t="shared" si="36"/>
        <v>4</v>
      </c>
      <c r="T78" s="75">
        <f t="shared" si="37"/>
        <v>6</v>
      </c>
      <c r="U78" s="75">
        <f t="shared" si="38"/>
        <v>12</v>
      </c>
      <c r="V78" s="75">
        <f t="shared" si="39"/>
        <v>20</v>
      </c>
      <c r="W78" s="140"/>
      <c r="X78" s="75">
        <f t="shared" si="28"/>
        <v>0</v>
      </c>
      <c r="Y78" s="75">
        <f t="shared" si="29"/>
        <v>0</v>
      </c>
      <c r="Z78" s="75">
        <f t="shared" si="30"/>
        <v>0</v>
      </c>
      <c r="AA78" s="75">
        <f t="shared" si="31"/>
        <v>0</v>
      </c>
      <c r="AB78" s="75">
        <f t="shared" si="32"/>
        <v>0</v>
      </c>
      <c r="AC78" s="75">
        <f t="shared" si="33"/>
        <v>20</v>
      </c>
      <c r="AD78" s="75">
        <f t="shared" si="34"/>
        <v>20</v>
      </c>
      <c r="AE78" s="301"/>
      <c r="AF78" s="155"/>
      <c r="AG78" s="155"/>
      <c r="AH78" s="155"/>
      <c r="AI78" s="155"/>
      <c r="AJ78" s="155"/>
      <c r="AK78" s="155"/>
      <c r="AL78" s="155"/>
      <c r="AM78" s="155"/>
      <c r="AN78" s="155"/>
      <c r="AO78" s="155"/>
      <c r="AP78" s="155"/>
      <c r="AQ78" s="155"/>
      <c r="AR78" s="155"/>
      <c r="AS78" s="155"/>
      <c r="AT78" s="155"/>
      <c r="AU78" s="155"/>
      <c r="AV78" s="155"/>
      <c r="AW78" s="155"/>
      <c r="AX78" s="155"/>
      <c r="AY78" s="155"/>
      <c r="AZ78" s="155"/>
      <c r="BA78" s="155"/>
      <c r="BB78" s="155"/>
      <c r="BC78" s="155"/>
      <c r="BD78" s="155"/>
    </row>
    <row r="79" spans="1:56" s="90" customFormat="1" ht="118.5" customHeight="1" x14ac:dyDescent="0.25">
      <c r="A79" s="293">
        <v>6</v>
      </c>
      <c r="B79" s="287" t="s">
        <v>44</v>
      </c>
      <c r="C79" s="93"/>
      <c r="D79" s="91" t="s">
        <v>211</v>
      </c>
      <c r="E79" s="93"/>
      <c r="F79" s="91" t="s">
        <v>212</v>
      </c>
      <c r="G79" s="88">
        <v>1</v>
      </c>
      <c r="H79" s="87" t="s">
        <v>213</v>
      </c>
      <c r="I79" s="100" t="s">
        <v>325</v>
      </c>
      <c r="J79" s="75"/>
      <c r="K79" s="75"/>
      <c r="L79" s="75"/>
      <c r="M79" s="75"/>
      <c r="N79" s="75"/>
      <c r="O79" s="75">
        <v>1</v>
      </c>
      <c r="P79" s="142"/>
      <c r="Q79" s="75">
        <v>0</v>
      </c>
      <c r="R79" s="75">
        <f>15*0.1</f>
        <v>1.5</v>
      </c>
      <c r="S79" s="75">
        <f>15*0.2</f>
        <v>3</v>
      </c>
      <c r="T79" s="75">
        <f>15*0.3</f>
        <v>4.5</v>
      </c>
      <c r="U79" s="75">
        <f>15*0.6</f>
        <v>9</v>
      </c>
      <c r="V79" s="75">
        <f>15*1</f>
        <v>15</v>
      </c>
      <c r="W79" s="140"/>
      <c r="X79" s="75">
        <f t="shared" si="28"/>
        <v>0</v>
      </c>
      <c r="Y79" s="75">
        <f t="shared" si="29"/>
        <v>0</v>
      </c>
      <c r="Z79" s="75">
        <f t="shared" si="30"/>
        <v>0</v>
      </c>
      <c r="AA79" s="75">
        <f t="shared" si="31"/>
        <v>0</v>
      </c>
      <c r="AB79" s="75">
        <f t="shared" si="32"/>
        <v>0</v>
      </c>
      <c r="AC79" s="75">
        <f t="shared" si="33"/>
        <v>15</v>
      </c>
      <c r="AD79" s="75">
        <f t="shared" si="34"/>
        <v>15</v>
      </c>
      <c r="AE79" s="299">
        <f>+SUM(AD79:AD98)</f>
        <v>300</v>
      </c>
      <c r="AF79" s="155"/>
      <c r="AG79" s="155"/>
      <c r="AH79" s="155"/>
      <c r="AI79" s="155"/>
      <c r="AJ79" s="155"/>
      <c r="AK79" s="155"/>
      <c r="AL79" s="155"/>
      <c r="AM79" s="155"/>
      <c r="AN79" s="155"/>
      <c r="AO79" s="155"/>
      <c r="AP79" s="155"/>
      <c r="AQ79" s="155"/>
      <c r="AR79" s="155"/>
      <c r="AS79" s="155"/>
      <c r="AT79" s="155"/>
      <c r="AU79" s="155"/>
      <c r="AV79" s="155"/>
      <c r="AW79" s="155"/>
      <c r="AX79" s="155"/>
      <c r="AY79" s="155"/>
      <c r="AZ79" s="155"/>
      <c r="BA79" s="155"/>
      <c r="BB79" s="155"/>
      <c r="BC79" s="155"/>
      <c r="BD79" s="155"/>
    </row>
    <row r="80" spans="1:56" s="90" customFormat="1" ht="84.75" customHeight="1" x14ac:dyDescent="0.25">
      <c r="A80" s="294"/>
      <c r="B80" s="288"/>
      <c r="C80" s="94"/>
      <c r="D80" s="95"/>
      <c r="E80" s="94"/>
      <c r="F80" s="95"/>
      <c r="G80" s="88">
        <v>2</v>
      </c>
      <c r="H80" s="87" t="s">
        <v>214</v>
      </c>
      <c r="I80" s="102"/>
      <c r="J80" s="75"/>
      <c r="K80" s="75"/>
      <c r="L80" s="75"/>
      <c r="M80" s="75"/>
      <c r="N80" s="75"/>
      <c r="O80" s="75">
        <v>1</v>
      </c>
      <c r="P80" s="143"/>
      <c r="Q80" s="75">
        <v>0</v>
      </c>
      <c r="R80" s="75">
        <f t="shared" ref="R80:R98" si="40">15*0.1</f>
        <v>1.5</v>
      </c>
      <c r="S80" s="75">
        <f t="shared" ref="S80:S98" si="41">15*0.2</f>
        <v>3</v>
      </c>
      <c r="T80" s="75">
        <f t="shared" ref="T80:T98" si="42">15*0.3</f>
        <v>4.5</v>
      </c>
      <c r="U80" s="75">
        <f t="shared" ref="U80:U98" si="43">15*0.6</f>
        <v>9</v>
      </c>
      <c r="V80" s="75">
        <f t="shared" ref="V80:V98" si="44">15*1</f>
        <v>15</v>
      </c>
      <c r="W80" s="140"/>
      <c r="X80" s="75">
        <f t="shared" si="28"/>
        <v>0</v>
      </c>
      <c r="Y80" s="75">
        <f t="shared" si="29"/>
        <v>0</v>
      </c>
      <c r="Z80" s="75">
        <f t="shared" si="30"/>
        <v>0</v>
      </c>
      <c r="AA80" s="75">
        <f t="shared" si="31"/>
        <v>0</v>
      </c>
      <c r="AB80" s="75">
        <f t="shared" si="32"/>
        <v>0</v>
      </c>
      <c r="AC80" s="75">
        <f t="shared" si="33"/>
        <v>15</v>
      </c>
      <c r="AD80" s="75">
        <f t="shared" si="34"/>
        <v>15</v>
      </c>
      <c r="AE80" s="300"/>
      <c r="AF80" s="155"/>
      <c r="AG80" s="155"/>
      <c r="AH80" s="155"/>
      <c r="AI80" s="155"/>
      <c r="AJ80" s="155"/>
      <c r="AK80" s="155"/>
      <c r="AL80" s="155"/>
      <c r="AM80" s="155"/>
      <c r="AN80" s="155"/>
      <c r="AO80" s="155"/>
      <c r="AP80" s="155"/>
      <c r="AQ80" s="155"/>
      <c r="AR80" s="155"/>
      <c r="AS80" s="155"/>
      <c r="AT80" s="155"/>
      <c r="AU80" s="155"/>
      <c r="AV80" s="155"/>
      <c r="AW80" s="155"/>
      <c r="AX80" s="155"/>
      <c r="AY80" s="155"/>
      <c r="AZ80" s="155"/>
      <c r="BA80" s="155"/>
      <c r="BB80" s="155"/>
      <c r="BC80" s="155"/>
      <c r="BD80" s="155"/>
    </row>
    <row r="81" spans="1:56" s="90" customFormat="1" ht="74.25" customHeight="1" x14ac:dyDescent="0.25">
      <c r="A81" s="294"/>
      <c r="B81" s="288"/>
      <c r="C81" s="96"/>
      <c r="D81" s="92"/>
      <c r="E81" s="96"/>
      <c r="F81" s="92"/>
      <c r="G81" s="88">
        <v>3</v>
      </c>
      <c r="H81" s="87" t="s">
        <v>215</v>
      </c>
      <c r="I81" s="104"/>
      <c r="J81" s="75"/>
      <c r="K81" s="75"/>
      <c r="L81" s="75"/>
      <c r="M81" s="75"/>
      <c r="N81" s="75"/>
      <c r="O81" s="75">
        <v>1</v>
      </c>
      <c r="P81" s="142"/>
      <c r="Q81" s="75">
        <v>0</v>
      </c>
      <c r="R81" s="75">
        <f t="shared" si="40"/>
        <v>1.5</v>
      </c>
      <c r="S81" s="75">
        <f t="shared" si="41"/>
        <v>3</v>
      </c>
      <c r="T81" s="75">
        <f t="shared" si="42"/>
        <v>4.5</v>
      </c>
      <c r="U81" s="75">
        <f t="shared" si="43"/>
        <v>9</v>
      </c>
      <c r="V81" s="75">
        <f t="shared" si="44"/>
        <v>15</v>
      </c>
      <c r="W81" s="140"/>
      <c r="X81" s="75">
        <f t="shared" si="28"/>
        <v>0</v>
      </c>
      <c r="Y81" s="75">
        <f t="shared" si="29"/>
        <v>0</v>
      </c>
      <c r="Z81" s="75">
        <f t="shared" si="30"/>
        <v>0</v>
      </c>
      <c r="AA81" s="75">
        <f t="shared" si="31"/>
        <v>0</v>
      </c>
      <c r="AB81" s="75">
        <f t="shared" si="32"/>
        <v>0</v>
      </c>
      <c r="AC81" s="75">
        <f t="shared" si="33"/>
        <v>15</v>
      </c>
      <c r="AD81" s="75">
        <f t="shared" si="34"/>
        <v>15</v>
      </c>
      <c r="AE81" s="300"/>
      <c r="AF81" s="155"/>
      <c r="AG81" s="155"/>
      <c r="AH81" s="155"/>
      <c r="AI81" s="155"/>
      <c r="AJ81" s="155"/>
      <c r="AK81" s="155"/>
      <c r="AL81" s="155"/>
      <c r="AM81" s="155"/>
      <c r="AN81" s="155"/>
      <c r="AO81" s="155"/>
      <c r="AP81" s="155"/>
      <c r="AQ81" s="155"/>
      <c r="AR81" s="155"/>
      <c r="AS81" s="155"/>
      <c r="AT81" s="155"/>
      <c r="AU81" s="155"/>
      <c r="AV81" s="155"/>
      <c r="AW81" s="155"/>
      <c r="AX81" s="155"/>
      <c r="AY81" s="155"/>
      <c r="AZ81" s="155"/>
      <c r="BA81" s="155"/>
      <c r="BB81" s="155"/>
      <c r="BC81" s="155"/>
      <c r="BD81" s="155"/>
    </row>
    <row r="82" spans="1:56" s="90" customFormat="1" ht="189" customHeight="1" x14ac:dyDescent="0.25">
      <c r="A82" s="294"/>
      <c r="B82" s="288"/>
      <c r="C82" s="116"/>
      <c r="D82" s="91" t="s">
        <v>45</v>
      </c>
      <c r="E82" s="116"/>
      <c r="F82" s="91" t="s">
        <v>216</v>
      </c>
      <c r="G82" s="117">
        <v>4</v>
      </c>
      <c r="H82" s="89" t="s">
        <v>217</v>
      </c>
      <c r="I82" s="100" t="s">
        <v>326</v>
      </c>
      <c r="J82" s="75"/>
      <c r="K82" s="75"/>
      <c r="L82" s="75"/>
      <c r="M82" s="75"/>
      <c r="N82" s="75"/>
      <c r="O82" s="75">
        <v>1</v>
      </c>
      <c r="P82" s="143"/>
      <c r="Q82" s="75">
        <v>0</v>
      </c>
      <c r="R82" s="75">
        <f t="shared" si="40"/>
        <v>1.5</v>
      </c>
      <c r="S82" s="75">
        <f t="shared" si="41"/>
        <v>3</v>
      </c>
      <c r="T82" s="75">
        <f t="shared" si="42"/>
        <v>4.5</v>
      </c>
      <c r="U82" s="75">
        <f t="shared" si="43"/>
        <v>9</v>
      </c>
      <c r="V82" s="75">
        <f t="shared" si="44"/>
        <v>15</v>
      </c>
      <c r="W82" s="140"/>
      <c r="X82" s="75">
        <f t="shared" si="28"/>
        <v>0</v>
      </c>
      <c r="Y82" s="75">
        <f t="shared" si="29"/>
        <v>0</v>
      </c>
      <c r="Z82" s="75">
        <f t="shared" si="30"/>
        <v>0</v>
      </c>
      <c r="AA82" s="75">
        <f t="shared" si="31"/>
        <v>0</v>
      </c>
      <c r="AB82" s="75">
        <f t="shared" si="32"/>
        <v>0</v>
      </c>
      <c r="AC82" s="75">
        <f t="shared" si="33"/>
        <v>15</v>
      </c>
      <c r="AD82" s="75">
        <f t="shared" si="34"/>
        <v>15</v>
      </c>
      <c r="AE82" s="300"/>
      <c r="AF82" s="155"/>
      <c r="AG82" s="155"/>
      <c r="AH82" s="155"/>
      <c r="AI82" s="155"/>
      <c r="AJ82" s="155"/>
      <c r="AK82" s="155"/>
      <c r="AL82" s="155"/>
      <c r="AM82" s="155"/>
      <c r="AN82" s="155"/>
      <c r="AO82" s="155"/>
      <c r="AP82" s="155"/>
      <c r="AQ82" s="155"/>
      <c r="AR82" s="155"/>
      <c r="AS82" s="155"/>
      <c r="AT82" s="155"/>
      <c r="AU82" s="155"/>
      <c r="AV82" s="155"/>
      <c r="AW82" s="155"/>
      <c r="AX82" s="155"/>
      <c r="AY82" s="155"/>
      <c r="AZ82" s="155"/>
      <c r="BA82" s="155"/>
      <c r="BB82" s="155"/>
      <c r="BC82" s="155"/>
      <c r="BD82" s="155"/>
    </row>
    <row r="83" spans="1:56" s="90" customFormat="1" ht="121.5" customHeight="1" x14ac:dyDescent="0.25">
      <c r="A83" s="294"/>
      <c r="B83" s="288"/>
      <c r="C83" s="118"/>
      <c r="D83" s="95"/>
      <c r="E83" s="118"/>
      <c r="F83" s="95"/>
      <c r="G83" s="117">
        <v>5</v>
      </c>
      <c r="H83" s="119" t="s">
        <v>375</v>
      </c>
      <c r="I83" s="120"/>
      <c r="J83" s="75"/>
      <c r="K83" s="75"/>
      <c r="L83" s="75"/>
      <c r="M83" s="75"/>
      <c r="N83" s="75"/>
      <c r="O83" s="75">
        <v>1</v>
      </c>
      <c r="P83" s="145"/>
      <c r="Q83" s="75">
        <v>0</v>
      </c>
      <c r="R83" s="75">
        <f t="shared" si="40"/>
        <v>1.5</v>
      </c>
      <c r="S83" s="75">
        <f t="shared" si="41"/>
        <v>3</v>
      </c>
      <c r="T83" s="75">
        <f t="shared" si="42"/>
        <v>4.5</v>
      </c>
      <c r="U83" s="75">
        <f t="shared" si="43"/>
        <v>9</v>
      </c>
      <c r="V83" s="75">
        <f t="shared" si="44"/>
        <v>15</v>
      </c>
      <c r="W83" s="140"/>
      <c r="X83" s="75">
        <f t="shared" si="28"/>
        <v>0</v>
      </c>
      <c r="Y83" s="75">
        <f t="shared" si="29"/>
        <v>0</v>
      </c>
      <c r="Z83" s="75">
        <f t="shared" si="30"/>
        <v>0</v>
      </c>
      <c r="AA83" s="75">
        <f t="shared" si="31"/>
        <v>0</v>
      </c>
      <c r="AB83" s="75">
        <f t="shared" si="32"/>
        <v>0</v>
      </c>
      <c r="AC83" s="75">
        <f t="shared" si="33"/>
        <v>15</v>
      </c>
      <c r="AD83" s="75">
        <f t="shared" si="34"/>
        <v>15</v>
      </c>
      <c r="AE83" s="300"/>
      <c r="AF83" s="155"/>
      <c r="AG83" s="155"/>
      <c r="AH83" s="155"/>
      <c r="AI83" s="155"/>
      <c r="AJ83" s="155"/>
      <c r="AK83" s="155"/>
      <c r="AL83" s="155"/>
      <c r="AM83" s="155"/>
      <c r="AN83" s="155"/>
      <c r="AO83" s="155"/>
      <c r="AP83" s="155"/>
      <c r="AQ83" s="155"/>
      <c r="AR83" s="155"/>
      <c r="AS83" s="155"/>
      <c r="AT83" s="155"/>
      <c r="AU83" s="155"/>
      <c r="AV83" s="155"/>
      <c r="AW83" s="155"/>
      <c r="AX83" s="155"/>
      <c r="AY83" s="155"/>
      <c r="AZ83" s="155"/>
      <c r="BA83" s="155"/>
      <c r="BB83" s="155"/>
      <c r="BC83" s="155"/>
      <c r="BD83" s="155"/>
    </row>
    <row r="84" spans="1:56" s="90" customFormat="1" ht="104.25" customHeight="1" x14ac:dyDescent="0.25">
      <c r="A84" s="294"/>
      <c r="B84" s="288"/>
      <c r="C84" s="118"/>
      <c r="D84" s="95"/>
      <c r="E84" s="118"/>
      <c r="F84" s="95"/>
      <c r="G84" s="121">
        <v>6</v>
      </c>
      <c r="H84" s="100" t="s">
        <v>374</v>
      </c>
      <c r="I84" s="122"/>
      <c r="J84" s="75"/>
      <c r="K84" s="75"/>
      <c r="L84" s="75"/>
      <c r="M84" s="75"/>
      <c r="N84" s="75"/>
      <c r="O84" s="75">
        <v>1</v>
      </c>
      <c r="P84" s="145"/>
      <c r="Q84" s="75">
        <v>0</v>
      </c>
      <c r="R84" s="75">
        <f t="shared" si="40"/>
        <v>1.5</v>
      </c>
      <c r="S84" s="75">
        <f t="shared" si="41"/>
        <v>3</v>
      </c>
      <c r="T84" s="75">
        <f t="shared" si="42"/>
        <v>4.5</v>
      </c>
      <c r="U84" s="75">
        <f t="shared" si="43"/>
        <v>9</v>
      </c>
      <c r="V84" s="75">
        <f t="shared" si="44"/>
        <v>15</v>
      </c>
      <c r="W84" s="140"/>
      <c r="X84" s="75">
        <f t="shared" si="28"/>
        <v>0</v>
      </c>
      <c r="Y84" s="75">
        <f t="shared" si="29"/>
        <v>0</v>
      </c>
      <c r="Z84" s="75">
        <f t="shared" si="30"/>
        <v>0</v>
      </c>
      <c r="AA84" s="75">
        <f t="shared" si="31"/>
        <v>0</v>
      </c>
      <c r="AB84" s="75">
        <f t="shared" si="32"/>
        <v>0</v>
      </c>
      <c r="AC84" s="75">
        <f t="shared" si="33"/>
        <v>15</v>
      </c>
      <c r="AD84" s="75">
        <f t="shared" si="34"/>
        <v>15</v>
      </c>
      <c r="AE84" s="300"/>
      <c r="AF84" s="155"/>
      <c r="AG84" s="155"/>
      <c r="AH84" s="155"/>
      <c r="AI84" s="155"/>
      <c r="AJ84" s="155"/>
      <c r="AK84" s="155"/>
      <c r="AL84" s="155"/>
      <c r="AM84" s="155"/>
      <c r="AN84" s="155"/>
      <c r="AO84" s="155"/>
      <c r="AP84" s="155"/>
      <c r="AQ84" s="155"/>
      <c r="AR84" s="155"/>
      <c r="AS84" s="155"/>
      <c r="AT84" s="155"/>
      <c r="AU84" s="155"/>
      <c r="AV84" s="155"/>
      <c r="AW84" s="155"/>
      <c r="AX84" s="155"/>
      <c r="AY84" s="155"/>
      <c r="AZ84" s="155"/>
      <c r="BA84" s="155"/>
      <c r="BB84" s="155"/>
      <c r="BC84" s="155"/>
      <c r="BD84" s="155"/>
    </row>
    <row r="85" spans="1:56" s="90" customFormat="1" ht="66.75" customHeight="1" x14ac:dyDescent="0.25">
      <c r="A85" s="294"/>
      <c r="B85" s="288"/>
      <c r="C85" s="118"/>
      <c r="D85" s="95"/>
      <c r="E85" s="123"/>
      <c r="F85" s="92"/>
      <c r="G85" s="117">
        <v>7</v>
      </c>
      <c r="H85" s="124" t="s">
        <v>376</v>
      </c>
      <c r="I85" s="119"/>
      <c r="J85" s="75"/>
      <c r="K85" s="75"/>
      <c r="L85" s="75"/>
      <c r="M85" s="75"/>
      <c r="N85" s="75"/>
      <c r="O85" s="75">
        <v>1</v>
      </c>
      <c r="P85" s="145"/>
      <c r="Q85" s="75">
        <v>0</v>
      </c>
      <c r="R85" s="75">
        <f t="shared" si="40"/>
        <v>1.5</v>
      </c>
      <c r="S85" s="75">
        <f t="shared" si="41"/>
        <v>3</v>
      </c>
      <c r="T85" s="75">
        <f t="shared" si="42"/>
        <v>4.5</v>
      </c>
      <c r="U85" s="75">
        <f t="shared" si="43"/>
        <v>9</v>
      </c>
      <c r="V85" s="75">
        <f t="shared" si="44"/>
        <v>15</v>
      </c>
      <c r="W85" s="140"/>
      <c r="X85" s="75">
        <f t="shared" si="28"/>
        <v>0</v>
      </c>
      <c r="Y85" s="75">
        <f t="shared" si="29"/>
        <v>0</v>
      </c>
      <c r="Z85" s="75">
        <f t="shared" si="30"/>
        <v>0</v>
      </c>
      <c r="AA85" s="75">
        <f t="shared" si="31"/>
        <v>0</v>
      </c>
      <c r="AB85" s="75">
        <f t="shared" si="32"/>
        <v>0</v>
      </c>
      <c r="AC85" s="75">
        <f t="shared" si="33"/>
        <v>15</v>
      </c>
      <c r="AD85" s="75">
        <f t="shared" si="34"/>
        <v>15</v>
      </c>
      <c r="AE85" s="300"/>
      <c r="AF85" s="155"/>
      <c r="AG85" s="155"/>
      <c r="AH85" s="155"/>
      <c r="AI85" s="155"/>
      <c r="AJ85" s="155"/>
      <c r="AK85" s="155"/>
      <c r="AL85" s="155"/>
      <c r="AM85" s="155"/>
      <c r="AN85" s="155"/>
      <c r="AO85" s="155"/>
      <c r="AP85" s="155"/>
      <c r="AQ85" s="155"/>
      <c r="AR85" s="155"/>
      <c r="AS85" s="155"/>
      <c r="AT85" s="155"/>
      <c r="AU85" s="155"/>
      <c r="AV85" s="155"/>
      <c r="AW85" s="155"/>
      <c r="AX85" s="155"/>
      <c r="AY85" s="155"/>
      <c r="AZ85" s="155"/>
      <c r="BA85" s="155"/>
      <c r="BB85" s="155"/>
      <c r="BC85" s="155"/>
      <c r="BD85" s="155"/>
    </row>
    <row r="86" spans="1:56" s="90" customFormat="1" ht="149.25" customHeight="1" x14ac:dyDescent="0.25">
      <c r="A86" s="294"/>
      <c r="B86" s="288"/>
      <c r="C86" s="118"/>
      <c r="D86" s="95"/>
      <c r="E86" s="118"/>
      <c r="F86" s="124" t="s">
        <v>380</v>
      </c>
      <c r="G86" s="117">
        <v>8</v>
      </c>
      <c r="H86" s="124" t="s">
        <v>377</v>
      </c>
      <c r="I86" s="125" t="s">
        <v>388</v>
      </c>
      <c r="J86" s="75"/>
      <c r="K86" s="75"/>
      <c r="L86" s="75"/>
      <c r="M86" s="75"/>
      <c r="N86" s="75"/>
      <c r="O86" s="75">
        <v>1</v>
      </c>
      <c r="P86" s="145"/>
      <c r="Q86" s="75">
        <v>0</v>
      </c>
      <c r="R86" s="75">
        <f t="shared" si="40"/>
        <v>1.5</v>
      </c>
      <c r="S86" s="75">
        <f t="shared" si="41"/>
        <v>3</v>
      </c>
      <c r="T86" s="75">
        <f t="shared" si="42"/>
        <v>4.5</v>
      </c>
      <c r="U86" s="75">
        <f t="shared" si="43"/>
        <v>9</v>
      </c>
      <c r="V86" s="75">
        <f t="shared" si="44"/>
        <v>15</v>
      </c>
      <c r="W86" s="140"/>
      <c r="X86" s="75">
        <f t="shared" si="28"/>
        <v>0</v>
      </c>
      <c r="Y86" s="75">
        <f t="shared" si="29"/>
        <v>0</v>
      </c>
      <c r="Z86" s="75">
        <f t="shared" si="30"/>
        <v>0</v>
      </c>
      <c r="AA86" s="75">
        <f t="shared" si="31"/>
        <v>0</v>
      </c>
      <c r="AB86" s="75">
        <f t="shared" si="32"/>
        <v>0</v>
      </c>
      <c r="AC86" s="75">
        <f t="shared" si="33"/>
        <v>15</v>
      </c>
      <c r="AD86" s="75">
        <f t="shared" si="34"/>
        <v>15</v>
      </c>
      <c r="AE86" s="300"/>
      <c r="AF86" s="155"/>
      <c r="AG86" s="155"/>
      <c r="AH86" s="155"/>
      <c r="AI86" s="155"/>
      <c r="AJ86" s="155"/>
      <c r="AK86" s="155"/>
      <c r="AL86" s="155"/>
      <c r="AM86" s="155"/>
      <c r="AN86" s="155"/>
      <c r="AO86" s="155"/>
      <c r="AP86" s="155"/>
      <c r="AQ86" s="155"/>
      <c r="AR86" s="155"/>
      <c r="AS86" s="155"/>
      <c r="AT86" s="155"/>
      <c r="AU86" s="155"/>
      <c r="AV86" s="155"/>
      <c r="AW86" s="155"/>
      <c r="AX86" s="155"/>
      <c r="AY86" s="155"/>
      <c r="AZ86" s="155"/>
      <c r="BA86" s="155"/>
      <c r="BB86" s="155"/>
      <c r="BC86" s="155"/>
      <c r="BD86" s="155"/>
    </row>
    <row r="87" spans="1:56" s="90" customFormat="1" ht="136.5" customHeight="1" x14ac:dyDescent="0.25">
      <c r="A87" s="294"/>
      <c r="B87" s="288"/>
      <c r="C87" s="118"/>
      <c r="D87" s="95"/>
      <c r="E87" s="118"/>
      <c r="F87" s="124"/>
      <c r="G87" s="117">
        <v>9</v>
      </c>
      <c r="H87" s="124" t="s">
        <v>378</v>
      </c>
      <c r="I87" s="125"/>
      <c r="J87" s="75"/>
      <c r="K87" s="75"/>
      <c r="L87" s="75"/>
      <c r="M87" s="75"/>
      <c r="N87" s="75"/>
      <c r="O87" s="75">
        <v>1</v>
      </c>
      <c r="P87" s="145"/>
      <c r="Q87" s="75">
        <v>0</v>
      </c>
      <c r="R87" s="75">
        <f t="shared" si="40"/>
        <v>1.5</v>
      </c>
      <c r="S87" s="75">
        <f t="shared" si="41"/>
        <v>3</v>
      </c>
      <c r="T87" s="75">
        <f t="shared" si="42"/>
        <v>4.5</v>
      </c>
      <c r="U87" s="75">
        <f t="shared" si="43"/>
        <v>9</v>
      </c>
      <c r="V87" s="75">
        <f t="shared" si="44"/>
        <v>15</v>
      </c>
      <c r="W87" s="140"/>
      <c r="X87" s="75">
        <f t="shared" si="28"/>
        <v>0</v>
      </c>
      <c r="Y87" s="75">
        <f t="shared" si="29"/>
        <v>0</v>
      </c>
      <c r="Z87" s="75">
        <f t="shared" si="30"/>
        <v>0</v>
      </c>
      <c r="AA87" s="75">
        <f t="shared" si="31"/>
        <v>0</v>
      </c>
      <c r="AB87" s="75">
        <f t="shared" si="32"/>
        <v>0</v>
      </c>
      <c r="AC87" s="75">
        <f t="shared" si="33"/>
        <v>15</v>
      </c>
      <c r="AD87" s="75">
        <f t="shared" si="34"/>
        <v>15</v>
      </c>
      <c r="AE87" s="300"/>
      <c r="AF87" s="155"/>
      <c r="AG87" s="155"/>
      <c r="AH87" s="155"/>
      <c r="AI87" s="155"/>
      <c r="AJ87" s="155"/>
      <c r="AK87" s="155"/>
      <c r="AL87" s="155"/>
      <c r="AM87" s="155"/>
      <c r="AN87" s="155"/>
      <c r="AO87" s="155"/>
      <c r="AP87" s="155"/>
      <c r="AQ87" s="155"/>
      <c r="AR87" s="155"/>
      <c r="AS87" s="155"/>
      <c r="AT87" s="155"/>
      <c r="AU87" s="155"/>
      <c r="AV87" s="155"/>
      <c r="AW87" s="155"/>
      <c r="AX87" s="155"/>
      <c r="AY87" s="155"/>
      <c r="AZ87" s="155"/>
      <c r="BA87" s="155"/>
      <c r="BB87" s="155"/>
      <c r="BC87" s="155"/>
      <c r="BD87" s="155"/>
    </row>
    <row r="88" spans="1:56" s="90" customFormat="1" ht="114.75" customHeight="1" x14ac:dyDescent="0.25">
      <c r="A88" s="294"/>
      <c r="B88" s="288"/>
      <c r="C88" s="118"/>
      <c r="D88" s="95"/>
      <c r="E88" s="118"/>
      <c r="F88" s="124"/>
      <c r="G88" s="117">
        <v>10</v>
      </c>
      <c r="H88" s="124" t="s">
        <v>379</v>
      </c>
      <c r="I88" s="125"/>
      <c r="J88" s="75"/>
      <c r="K88" s="75"/>
      <c r="L88" s="75"/>
      <c r="M88" s="75"/>
      <c r="N88" s="75"/>
      <c r="O88" s="75">
        <v>1</v>
      </c>
      <c r="P88" s="145"/>
      <c r="Q88" s="75">
        <v>0</v>
      </c>
      <c r="R88" s="75">
        <f t="shared" si="40"/>
        <v>1.5</v>
      </c>
      <c r="S88" s="75">
        <f t="shared" si="41"/>
        <v>3</v>
      </c>
      <c r="T88" s="75">
        <f t="shared" si="42"/>
        <v>4.5</v>
      </c>
      <c r="U88" s="75">
        <f t="shared" si="43"/>
        <v>9</v>
      </c>
      <c r="V88" s="75">
        <f t="shared" si="44"/>
        <v>15</v>
      </c>
      <c r="W88" s="140"/>
      <c r="X88" s="75">
        <f t="shared" si="28"/>
        <v>0</v>
      </c>
      <c r="Y88" s="75">
        <f t="shared" si="29"/>
        <v>0</v>
      </c>
      <c r="Z88" s="75">
        <f t="shared" si="30"/>
        <v>0</v>
      </c>
      <c r="AA88" s="75">
        <f t="shared" si="31"/>
        <v>0</v>
      </c>
      <c r="AB88" s="75">
        <f t="shared" si="32"/>
        <v>0</v>
      </c>
      <c r="AC88" s="75">
        <f t="shared" si="33"/>
        <v>15</v>
      </c>
      <c r="AD88" s="75">
        <f t="shared" si="34"/>
        <v>15</v>
      </c>
      <c r="AE88" s="300"/>
      <c r="AF88" s="155"/>
      <c r="AG88" s="155"/>
      <c r="AH88" s="155"/>
      <c r="AI88" s="155"/>
      <c r="AJ88" s="155"/>
      <c r="AK88" s="155"/>
      <c r="AL88" s="155"/>
      <c r="AM88" s="155"/>
      <c r="AN88" s="155"/>
      <c r="AO88" s="155"/>
      <c r="AP88" s="155"/>
      <c r="AQ88" s="155"/>
      <c r="AR88" s="155"/>
      <c r="AS88" s="155"/>
      <c r="AT88" s="155"/>
      <c r="AU88" s="155"/>
      <c r="AV88" s="155"/>
      <c r="AW88" s="155"/>
      <c r="AX88" s="155"/>
      <c r="AY88" s="155"/>
      <c r="AZ88" s="155"/>
      <c r="BA88" s="155"/>
      <c r="BB88" s="155"/>
      <c r="BC88" s="155"/>
      <c r="BD88" s="155"/>
    </row>
    <row r="89" spans="1:56" s="90" customFormat="1" ht="109.5" customHeight="1" x14ac:dyDescent="0.25">
      <c r="A89" s="294"/>
      <c r="B89" s="288"/>
      <c r="C89" s="118"/>
      <c r="D89" s="101"/>
      <c r="E89" s="118"/>
      <c r="F89" s="98" t="s">
        <v>218</v>
      </c>
      <c r="G89" s="121">
        <v>11</v>
      </c>
      <c r="H89" s="100" t="s">
        <v>367</v>
      </c>
      <c r="I89" s="126"/>
      <c r="J89" s="127"/>
      <c r="K89" s="127"/>
      <c r="L89" s="127"/>
      <c r="M89" s="127"/>
      <c r="N89" s="127"/>
      <c r="O89" s="75">
        <v>1</v>
      </c>
      <c r="P89" s="142"/>
      <c r="Q89" s="75">
        <v>0</v>
      </c>
      <c r="R89" s="75">
        <f t="shared" si="40"/>
        <v>1.5</v>
      </c>
      <c r="S89" s="75">
        <f t="shared" si="41"/>
        <v>3</v>
      </c>
      <c r="T89" s="75">
        <f t="shared" si="42"/>
        <v>4.5</v>
      </c>
      <c r="U89" s="75">
        <f t="shared" si="43"/>
        <v>9</v>
      </c>
      <c r="V89" s="75">
        <f t="shared" si="44"/>
        <v>15</v>
      </c>
      <c r="W89" s="140"/>
      <c r="X89" s="75">
        <f t="shared" si="28"/>
        <v>0</v>
      </c>
      <c r="Y89" s="75">
        <f t="shared" si="29"/>
        <v>0</v>
      </c>
      <c r="Z89" s="75">
        <f t="shared" si="30"/>
        <v>0</v>
      </c>
      <c r="AA89" s="75">
        <f t="shared" si="31"/>
        <v>0</v>
      </c>
      <c r="AB89" s="75">
        <f t="shared" si="32"/>
        <v>0</v>
      </c>
      <c r="AC89" s="75">
        <f t="shared" si="33"/>
        <v>15</v>
      </c>
      <c r="AD89" s="75">
        <f t="shared" si="34"/>
        <v>15</v>
      </c>
      <c r="AE89" s="300"/>
      <c r="AF89" s="155"/>
      <c r="AG89" s="155"/>
      <c r="AH89" s="155"/>
      <c r="AI89" s="155"/>
      <c r="AJ89" s="155"/>
      <c r="AK89" s="155"/>
      <c r="AL89" s="155"/>
      <c r="AM89" s="155"/>
      <c r="AN89" s="155"/>
      <c r="AO89" s="155"/>
      <c r="AP89" s="155"/>
      <c r="AQ89" s="155"/>
      <c r="AR89" s="155"/>
      <c r="AS89" s="155"/>
      <c r="AT89" s="155"/>
      <c r="AU89" s="155"/>
      <c r="AV89" s="155"/>
      <c r="AW89" s="155"/>
      <c r="AX89" s="155"/>
      <c r="AY89" s="155"/>
      <c r="AZ89" s="155"/>
      <c r="BA89" s="155"/>
      <c r="BB89" s="155"/>
      <c r="BC89" s="155"/>
      <c r="BD89" s="155"/>
    </row>
    <row r="90" spans="1:56" s="90" customFormat="1" ht="109.5" customHeight="1" x14ac:dyDescent="0.25">
      <c r="A90" s="294"/>
      <c r="B90" s="288"/>
      <c r="C90" s="118"/>
      <c r="D90" s="101"/>
      <c r="E90" s="118"/>
      <c r="F90" s="89" t="s">
        <v>219</v>
      </c>
      <c r="G90" s="128">
        <v>12</v>
      </c>
      <c r="H90" s="124" t="s">
        <v>368</v>
      </c>
      <c r="I90" s="129"/>
      <c r="J90" s="75"/>
      <c r="K90" s="75"/>
      <c r="L90" s="75"/>
      <c r="M90" s="75"/>
      <c r="N90" s="75"/>
      <c r="O90" s="75">
        <v>1</v>
      </c>
      <c r="P90" s="144"/>
      <c r="Q90" s="75">
        <v>0</v>
      </c>
      <c r="R90" s="75">
        <f t="shared" si="40"/>
        <v>1.5</v>
      </c>
      <c r="S90" s="75">
        <f t="shared" si="41"/>
        <v>3</v>
      </c>
      <c r="T90" s="75">
        <f t="shared" si="42"/>
        <v>4.5</v>
      </c>
      <c r="U90" s="75">
        <f t="shared" si="43"/>
        <v>9</v>
      </c>
      <c r="V90" s="75">
        <f t="shared" si="44"/>
        <v>15</v>
      </c>
      <c r="W90" s="140"/>
      <c r="X90" s="75">
        <f t="shared" si="28"/>
        <v>0</v>
      </c>
      <c r="Y90" s="75">
        <f t="shared" si="29"/>
        <v>0</v>
      </c>
      <c r="Z90" s="75">
        <f t="shared" si="30"/>
        <v>0</v>
      </c>
      <c r="AA90" s="75">
        <f t="shared" si="31"/>
        <v>0</v>
      </c>
      <c r="AB90" s="75">
        <f t="shared" si="32"/>
        <v>0</v>
      </c>
      <c r="AC90" s="75">
        <f t="shared" si="33"/>
        <v>15</v>
      </c>
      <c r="AD90" s="75">
        <f t="shared" si="34"/>
        <v>15</v>
      </c>
      <c r="AE90" s="300"/>
      <c r="AF90" s="155"/>
      <c r="AG90" s="155"/>
      <c r="AH90" s="155"/>
      <c r="AI90" s="155"/>
      <c r="AJ90" s="155"/>
      <c r="AK90" s="155"/>
      <c r="AL90" s="155"/>
      <c r="AM90" s="155"/>
      <c r="AN90" s="155"/>
      <c r="AO90" s="155"/>
      <c r="AP90" s="155"/>
      <c r="AQ90" s="155"/>
      <c r="AR90" s="155"/>
      <c r="AS90" s="155"/>
      <c r="AT90" s="155"/>
      <c r="AU90" s="155"/>
      <c r="AV90" s="155"/>
      <c r="AW90" s="155"/>
      <c r="AX90" s="155"/>
      <c r="AY90" s="155"/>
      <c r="AZ90" s="155"/>
      <c r="BA90" s="155"/>
      <c r="BB90" s="155"/>
      <c r="BC90" s="155"/>
      <c r="BD90" s="155"/>
    </row>
    <row r="91" spans="1:56" s="90" customFormat="1" ht="45" customHeight="1" x14ac:dyDescent="0.25">
      <c r="A91" s="294"/>
      <c r="B91" s="288"/>
      <c r="C91" s="118"/>
      <c r="D91" s="101"/>
      <c r="E91" s="118"/>
      <c r="F91" s="124"/>
      <c r="G91" s="130">
        <v>13</v>
      </c>
      <c r="H91" s="113" t="s">
        <v>220</v>
      </c>
      <c r="I91" s="124"/>
      <c r="J91" s="131"/>
      <c r="K91" s="131"/>
      <c r="L91" s="131"/>
      <c r="M91" s="131"/>
      <c r="N91" s="131"/>
      <c r="O91" s="75">
        <v>1</v>
      </c>
      <c r="P91" s="143"/>
      <c r="Q91" s="75">
        <v>0</v>
      </c>
      <c r="R91" s="75">
        <f t="shared" si="40"/>
        <v>1.5</v>
      </c>
      <c r="S91" s="75">
        <f t="shared" si="41"/>
        <v>3</v>
      </c>
      <c r="T91" s="75">
        <f t="shared" si="42"/>
        <v>4.5</v>
      </c>
      <c r="U91" s="75">
        <f t="shared" si="43"/>
        <v>9</v>
      </c>
      <c r="V91" s="75">
        <f t="shared" si="44"/>
        <v>15</v>
      </c>
      <c r="W91" s="140"/>
      <c r="X91" s="75">
        <f t="shared" si="28"/>
        <v>0</v>
      </c>
      <c r="Y91" s="75">
        <f t="shared" si="29"/>
        <v>0</v>
      </c>
      <c r="Z91" s="75">
        <f t="shared" si="30"/>
        <v>0</v>
      </c>
      <c r="AA91" s="75">
        <f t="shared" si="31"/>
        <v>0</v>
      </c>
      <c r="AB91" s="75">
        <f t="shared" si="32"/>
        <v>0</v>
      </c>
      <c r="AC91" s="75">
        <f t="shared" si="33"/>
        <v>15</v>
      </c>
      <c r="AD91" s="75">
        <f t="shared" si="34"/>
        <v>15</v>
      </c>
      <c r="AE91" s="300"/>
      <c r="AF91" s="155"/>
      <c r="AG91" s="155"/>
      <c r="AH91" s="155"/>
      <c r="AI91" s="155"/>
      <c r="AJ91" s="155"/>
      <c r="AK91" s="155"/>
      <c r="AL91" s="155"/>
      <c r="AM91" s="155"/>
      <c r="AN91" s="155"/>
      <c r="AO91" s="155"/>
      <c r="AP91" s="155"/>
      <c r="AQ91" s="155"/>
      <c r="AR91" s="155"/>
      <c r="AS91" s="155"/>
      <c r="AT91" s="155"/>
      <c r="AU91" s="155"/>
      <c r="AV91" s="155"/>
      <c r="AW91" s="155"/>
      <c r="AX91" s="155"/>
      <c r="AY91" s="155"/>
      <c r="AZ91" s="155"/>
      <c r="BA91" s="155"/>
      <c r="BB91" s="155"/>
      <c r="BC91" s="155"/>
      <c r="BD91" s="155"/>
    </row>
    <row r="92" spans="1:56" s="90" customFormat="1" ht="96" customHeight="1" x14ac:dyDescent="0.25">
      <c r="A92" s="294"/>
      <c r="B92" s="288"/>
      <c r="C92" s="118"/>
      <c r="D92" s="101"/>
      <c r="E92" s="118"/>
      <c r="F92" s="124" t="s">
        <v>387</v>
      </c>
      <c r="G92" s="130">
        <v>14</v>
      </c>
      <c r="H92" s="119" t="s">
        <v>386</v>
      </c>
      <c r="I92" s="129"/>
      <c r="J92" s="75"/>
      <c r="K92" s="75"/>
      <c r="L92" s="75"/>
      <c r="M92" s="75"/>
      <c r="N92" s="75"/>
      <c r="O92" s="75">
        <v>1</v>
      </c>
      <c r="P92" s="144"/>
      <c r="Q92" s="75">
        <v>0</v>
      </c>
      <c r="R92" s="75">
        <f t="shared" si="40"/>
        <v>1.5</v>
      </c>
      <c r="S92" s="75">
        <f t="shared" si="41"/>
        <v>3</v>
      </c>
      <c r="T92" s="75">
        <f t="shared" si="42"/>
        <v>4.5</v>
      </c>
      <c r="U92" s="75">
        <f t="shared" si="43"/>
        <v>9</v>
      </c>
      <c r="V92" s="75">
        <f t="shared" si="44"/>
        <v>15</v>
      </c>
      <c r="W92" s="140"/>
      <c r="X92" s="75">
        <f t="shared" si="28"/>
        <v>0</v>
      </c>
      <c r="Y92" s="75">
        <f t="shared" si="29"/>
        <v>0</v>
      </c>
      <c r="Z92" s="75">
        <f t="shared" si="30"/>
        <v>0</v>
      </c>
      <c r="AA92" s="75">
        <f t="shared" si="31"/>
        <v>0</v>
      </c>
      <c r="AB92" s="75">
        <f t="shared" si="32"/>
        <v>0</v>
      </c>
      <c r="AC92" s="75">
        <f t="shared" si="33"/>
        <v>15</v>
      </c>
      <c r="AD92" s="75">
        <f t="shared" si="34"/>
        <v>15</v>
      </c>
      <c r="AE92" s="300"/>
      <c r="AF92" s="155"/>
      <c r="AG92" s="155"/>
      <c r="AH92" s="155"/>
      <c r="AI92" s="155"/>
      <c r="AJ92" s="155"/>
      <c r="AK92" s="155"/>
      <c r="AL92" s="155"/>
      <c r="AM92" s="155"/>
      <c r="AN92" s="155"/>
      <c r="AO92" s="155"/>
      <c r="AP92" s="155"/>
      <c r="AQ92" s="155"/>
      <c r="AR92" s="155"/>
      <c r="AS92" s="155"/>
      <c r="AT92" s="155"/>
      <c r="AU92" s="155"/>
      <c r="AV92" s="155"/>
      <c r="AW92" s="155"/>
      <c r="AX92" s="155"/>
      <c r="AY92" s="155"/>
      <c r="AZ92" s="155"/>
      <c r="BA92" s="155"/>
      <c r="BB92" s="155"/>
      <c r="BC92" s="155"/>
      <c r="BD92" s="155"/>
    </row>
    <row r="93" spans="1:56" s="90" customFormat="1" ht="109.5" customHeight="1" x14ac:dyDescent="0.25">
      <c r="A93" s="294"/>
      <c r="B93" s="288"/>
      <c r="C93" s="118"/>
      <c r="D93" s="91" t="s">
        <v>46</v>
      </c>
      <c r="E93" s="93"/>
      <c r="F93" s="91" t="s">
        <v>221</v>
      </c>
      <c r="G93" s="88">
        <v>15</v>
      </c>
      <c r="H93" s="87" t="s">
        <v>222</v>
      </c>
      <c r="I93" s="89" t="s">
        <v>327</v>
      </c>
      <c r="J93" s="75"/>
      <c r="K93" s="75"/>
      <c r="L93" s="75"/>
      <c r="M93" s="75"/>
      <c r="N93" s="75"/>
      <c r="O93" s="75">
        <v>1</v>
      </c>
      <c r="P93" s="142"/>
      <c r="Q93" s="75">
        <v>0</v>
      </c>
      <c r="R93" s="75">
        <f t="shared" si="40"/>
        <v>1.5</v>
      </c>
      <c r="S93" s="75">
        <f t="shared" si="41"/>
        <v>3</v>
      </c>
      <c r="T93" s="75">
        <f t="shared" si="42"/>
        <v>4.5</v>
      </c>
      <c r="U93" s="75">
        <f t="shared" si="43"/>
        <v>9</v>
      </c>
      <c r="V93" s="75">
        <f t="shared" si="44"/>
        <v>15</v>
      </c>
      <c r="W93" s="140"/>
      <c r="X93" s="75">
        <f t="shared" si="28"/>
        <v>0</v>
      </c>
      <c r="Y93" s="75">
        <f t="shared" si="29"/>
        <v>0</v>
      </c>
      <c r="Z93" s="75">
        <f t="shared" si="30"/>
        <v>0</v>
      </c>
      <c r="AA93" s="75">
        <f t="shared" si="31"/>
        <v>0</v>
      </c>
      <c r="AB93" s="75">
        <f t="shared" si="32"/>
        <v>0</v>
      </c>
      <c r="AC93" s="75">
        <f t="shared" si="33"/>
        <v>15</v>
      </c>
      <c r="AD93" s="75">
        <f t="shared" si="34"/>
        <v>15</v>
      </c>
      <c r="AE93" s="300"/>
      <c r="AF93" s="155"/>
      <c r="AG93" s="155"/>
      <c r="AH93" s="155"/>
      <c r="AI93" s="155"/>
      <c r="AJ93" s="155"/>
      <c r="AK93" s="155"/>
      <c r="AL93" s="155"/>
      <c r="AM93" s="155"/>
      <c r="AN93" s="155"/>
      <c r="AO93" s="155"/>
      <c r="AP93" s="155"/>
      <c r="AQ93" s="155"/>
      <c r="AR93" s="155"/>
      <c r="AS93" s="155"/>
      <c r="AT93" s="155"/>
      <c r="AU93" s="155"/>
      <c r="AV93" s="155"/>
      <c r="AW93" s="155"/>
      <c r="AX93" s="155"/>
      <c r="AY93" s="155"/>
      <c r="AZ93" s="155"/>
      <c r="BA93" s="155"/>
      <c r="BB93" s="155"/>
      <c r="BC93" s="155"/>
      <c r="BD93" s="155"/>
    </row>
    <row r="94" spans="1:56" s="90" customFormat="1" ht="109.5" customHeight="1" x14ac:dyDescent="0.25">
      <c r="A94" s="294"/>
      <c r="B94" s="288"/>
      <c r="C94" s="118"/>
      <c r="D94" s="92"/>
      <c r="E94" s="96"/>
      <c r="F94" s="92"/>
      <c r="G94" s="88">
        <v>16</v>
      </c>
      <c r="H94" s="87" t="s">
        <v>223</v>
      </c>
      <c r="I94" s="89"/>
      <c r="J94" s="75"/>
      <c r="K94" s="75"/>
      <c r="L94" s="75"/>
      <c r="M94" s="75"/>
      <c r="N94" s="75"/>
      <c r="O94" s="75">
        <v>1</v>
      </c>
      <c r="P94" s="143"/>
      <c r="Q94" s="75">
        <v>0</v>
      </c>
      <c r="R94" s="75">
        <f t="shared" si="40"/>
        <v>1.5</v>
      </c>
      <c r="S94" s="75">
        <f t="shared" si="41"/>
        <v>3</v>
      </c>
      <c r="T94" s="75">
        <f t="shared" si="42"/>
        <v>4.5</v>
      </c>
      <c r="U94" s="75">
        <f t="shared" si="43"/>
        <v>9</v>
      </c>
      <c r="V94" s="75">
        <f t="shared" si="44"/>
        <v>15</v>
      </c>
      <c r="W94" s="140"/>
      <c r="X94" s="75">
        <f t="shared" si="28"/>
        <v>0</v>
      </c>
      <c r="Y94" s="75">
        <f t="shared" si="29"/>
        <v>0</v>
      </c>
      <c r="Z94" s="75">
        <f t="shared" si="30"/>
        <v>0</v>
      </c>
      <c r="AA94" s="75">
        <f t="shared" si="31"/>
        <v>0</v>
      </c>
      <c r="AB94" s="75">
        <f t="shared" si="32"/>
        <v>0</v>
      </c>
      <c r="AC94" s="75">
        <f t="shared" si="33"/>
        <v>15</v>
      </c>
      <c r="AD94" s="75">
        <f t="shared" si="34"/>
        <v>15</v>
      </c>
      <c r="AE94" s="300"/>
      <c r="AF94" s="155"/>
      <c r="AG94" s="155"/>
      <c r="AH94" s="155"/>
      <c r="AI94" s="155"/>
      <c r="AJ94" s="155"/>
      <c r="AK94" s="155"/>
      <c r="AL94" s="155"/>
      <c r="AM94" s="155"/>
      <c r="AN94" s="155"/>
      <c r="AO94" s="155"/>
      <c r="AP94" s="155"/>
      <c r="AQ94" s="155"/>
      <c r="AR94" s="155"/>
      <c r="AS94" s="155"/>
      <c r="AT94" s="155"/>
      <c r="AU94" s="155"/>
      <c r="AV94" s="155"/>
      <c r="AW94" s="155"/>
      <c r="AX94" s="155"/>
      <c r="AY94" s="155"/>
      <c r="AZ94" s="155"/>
      <c r="BA94" s="155"/>
      <c r="BB94" s="155"/>
      <c r="BC94" s="155"/>
      <c r="BD94" s="155"/>
    </row>
    <row r="95" spans="1:56" s="90" customFormat="1" ht="102" customHeight="1" x14ac:dyDescent="0.25">
      <c r="A95" s="294"/>
      <c r="B95" s="288"/>
      <c r="C95" s="118"/>
      <c r="D95" s="281" t="s">
        <v>371</v>
      </c>
      <c r="E95" s="98"/>
      <c r="F95" s="89" t="s">
        <v>381</v>
      </c>
      <c r="G95" s="128">
        <v>17</v>
      </c>
      <c r="H95" s="124" t="s">
        <v>382</v>
      </c>
      <c r="I95" s="278" t="s">
        <v>389</v>
      </c>
      <c r="J95" s="75"/>
      <c r="K95" s="75"/>
      <c r="L95" s="75"/>
      <c r="M95" s="75"/>
      <c r="N95" s="75"/>
      <c r="O95" s="75">
        <v>1</v>
      </c>
      <c r="P95" s="144"/>
      <c r="Q95" s="75">
        <v>0</v>
      </c>
      <c r="R95" s="75">
        <f t="shared" si="40"/>
        <v>1.5</v>
      </c>
      <c r="S95" s="75">
        <f t="shared" si="41"/>
        <v>3</v>
      </c>
      <c r="T95" s="75">
        <f t="shared" si="42"/>
        <v>4.5</v>
      </c>
      <c r="U95" s="75">
        <f t="shared" si="43"/>
        <v>9</v>
      </c>
      <c r="V95" s="75">
        <f t="shared" si="44"/>
        <v>15</v>
      </c>
      <c r="W95" s="140"/>
      <c r="X95" s="75">
        <f t="shared" si="28"/>
        <v>0</v>
      </c>
      <c r="Y95" s="75">
        <f t="shared" si="29"/>
        <v>0</v>
      </c>
      <c r="Z95" s="75">
        <f t="shared" si="30"/>
        <v>0</v>
      </c>
      <c r="AA95" s="75">
        <f t="shared" si="31"/>
        <v>0</v>
      </c>
      <c r="AB95" s="75">
        <f t="shared" si="32"/>
        <v>0</v>
      </c>
      <c r="AC95" s="75">
        <f t="shared" si="33"/>
        <v>15</v>
      </c>
      <c r="AD95" s="75">
        <f t="shared" si="34"/>
        <v>15</v>
      </c>
      <c r="AE95" s="300"/>
      <c r="AF95" s="155"/>
      <c r="AG95" s="155"/>
      <c r="AH95" s="155"/>
      <c r="AI95" s="155"/>
      <c r="AJ95" s="155"/>
      <c r="AK95" s="155"/>
      <c r="AL95" s="155"/>
      <c r="AM95" s="155"/>
      <c r="AN95" s="155"/>
      <c r="AO95" s="155"/>
      <c r="AP95" s="155"/>
      <c r="AQ95" s="155"/>
      <c r="AR95" s="155"/>
      <c r="AS95" s="155"/>
      <c r="AT95" s="155"/>
      <c r="AU95" s="155"/>
      <c r="AV95" s="155"/>
      <c r="AW95" s="155"/>
      <c r="AX95" s="155"/>
      <c r="AY95" s="155"/>
      <c r="AZ95" s="155"/>
      <c r="BA95" s="155"/>
      <c r="BB95" s="155"/>
      <c r="BC95" s="155"/>
      <c r="BD95" s="155"/>
    </row>
    <row r="96" spans="1:56" s="90" customFormat="1" ht="69.75" customHeight="1" x14ac:dyDescent="0.25">
      <c r="A96" s="294"/>
      <c r="B96" s="288"/>
      <c r="C96" s="118"/>
      <c r="D96" s="282"/>
      <c r="E96" s="112"/>
      <c r="F96" s="112" t="s">
        <v>383</v>
      </c>
      <c r="G96" s="117">
        <v>18</v>
      </c>
      <c r="H96" s="124" t="s">
        <v>382</v>
      </c>
      <c r="I96" s="279"/>
      <c r="J96" s="132"/>
      <c r="K96" s="132"/>
      <c r="L96" s="132"/>
      <c r="M96" s="132"/>
      <c r="N96" s="132"/>
      <c r="O96" s="75">
        <v>1</v>
      </c>
      <c r="P96" s="144"/>
      <c r="Q96" s="75">
        <v>0</v>
      </c>
      <c r="R96" s="75">
        <f t="shared" si="40"/>
        <v>1.5</v>
      </c>
      <c r="S96" s="75">
        <f t="shared" si="41"/>
        <v>3</v>
      </c>
      <c r="T96" s="75">
        <f t="shared" si="42"/>
        <v>4.5</v>
      </c>
      <c r="U96" s="75">
        <f t="shared" si="43"/>
        <v>9</v>
      </c>
      <c r="V96" s="75">
        <f t="shared" si="44"/>
        <v>15</v>
      </c>
      <c r="W96" s="140"/>
      <c r="X96" s="75">
        <f t="shared" si="28"/>
        <v>0</v>
      </c>
      <c r="Y96" s="75">
        <f t="shared" si="29"/>
        <v>0</v>
      </c>
      <c r="Z96" s="75">
        <f t="shared" si="30"/>
        <v>0</v>
      </c>
      <c r="AA96" s="75">
        <f t="shared" si="31"/>
        <v>0</v>
      </c>
      <c r="AB96" s="75">
        <f t="shared" si="32"/>
        <v>0</v>
      </c>
      <c r="AC96" s="75">
        <f t="shared" si="33"/>
        <v>15</v>
      </c>
      <c r="AD96" s="75">
        <f t="shared" si="34"/>
        <v>15</v>
      </c>
      <c r="AE96" s="300"/>
      <c r="AF96" s="155"/>
      <c r="AG96" s="155"/>
      <c r="AH96" s="155"/>
      <c r="AI96" s="155"/>
      <c r="AJ96" s="155"/>
      <c r="AK96" s="155"/>
      <c r="AL96" s="155"/>
      <c r="AM96" s="155"/>
      <c r="AN96" s="155"/>
      <c r="AO96" s="155"/>
      <c r="AP96" s="155"/>
      <c r="AQ96" s="155"/>
      <c r="AR96" s="155"/>
      <c r="AS96" s="155"/>
      <c r="AT96" s="155"/>
      <c r="AU96" s="155"/>
      <c r="AV96" s="155"/>
      <c r="AW96" s="155"/>
      <c r="AX96" s="155"/>
      <c r="AY96" s="155"/>
      <c r="AZ96" s="155"/>
      <c r="BA96" s="155"/>
      <c r="BB96" s="155"/>
      <c r="BC96" s="155"/>
      <c r="BD96" s="155"/>
    </row>
    <row r="97" spans="1:56" s="90" customFormat="1" ht="59.25" customHeight="1" x14ac:dyDescent="0.25">
      <c r="A97" s="294"/>
      <c r="B97" s="288"/>
      <c r="C97" s="118"/>
      <c r="D97" s="282"/>
      <c r="E97" s="112"/>
      <c r="F97" s="124" t="s">
        <v>384</v>
      </c>
      <c r="G97" s="117">
        <v>19</v>
      </c>
      <c r="H97" s="124" t="s">
        <v>385</v>
      </c>
      <c r="I97" s="280"/>
      <c r="J97" s="75"/>
      <c r="K97" s="75"/>
      <c r="L97" s="75"/>
      <c r="M97" s="75"/>
      <c r="N97" s="75"/>
      <c r="O97" s="75">
        <v>1</v>
      </c>
      <c r="P97" s="144"/>
      <c r="Q97" s="75">
        <v>0</v>
      </c>
      <c r="R97" s="75">
        <f t="shared" si="40"/>
        <v>1.5</v>
      </c>
      <c r="S97" s="75">
        <f t="shared" si="41"/>
        <v>3</v>
      </c>
      <c r="T97" s="75">
        <f t="shared" si="42"/>
        <v>4.5</v>
      </c>
      <c r="U97" s="75">
        <f t="shared" si="43"/>
        <v>9</v>
      </c>
      <c r="V97" s="75">
        <f t="shared" si="44"/>
        <v>15</v>
      </c>
      <c r="W97" s="140"/>
      <c r="X97" s="75">
        <f t="shared" si="28"/>
        <v>0</v>
      </c>
      <c r="Y97" s="75">
        <f t="shared" si="29"/>
        <v>0</v>
      </c>
      <c r="Z97" s="75">
        <f t="shared" si="30"/>
        <v>0</v>
      </c>
      <c r="AA97" s="75">
        <f t="shared" si="31"/>
        <v>0</v>
      </c>
      <c r="AB97" s="75">
        <f t="shared" si="32"/>
        <v>0</v>
      </c>
      <c r="AC97" s="75">
        <f t="shared" si="33"/>
        <v>15</v>
      </c>
      <c r="AD97" s="75">
        <f t="shared" si="34"/>
        <v>15</v>
      </c>
      <c r="AE97" s="300"/>
      <c r="AF97" s="155"/>
      <c r="AG97" s="155"/>
      <c r="AH97" s="155"/>
      <c r="AI97" s="155"/>
      <c r="AJ97" s="155"/>
      <c r="AK97" s="155"/>
      <c r="AL97" s="155"/>
      <c r="AM97" s="155"/>
      <c r="AN97" s="155"/>
      <c r="AO97" s="155"/>
      <c r="AP97" s="155"/>
      <c r="AQ97" s="155"/>
      <c r="AR97" s="155"/>
      <c r="AS97" s="155"/>
      <c r="AT97" s="155"/>
      <c r="AU97" s="155"/>
      <c r="AV97" s="155"/>
      <c r="AW97" s="155"/>
      <c r="AX97" s="155"/>
      <c r="AY97" s="155"/>
      <c r="AZ97" s="155"/>
      <c r="BA97" s="155"/>
      <c r="BB97" s="155"/>
      <c r="BC97" s="155"/>
      <c r="BD97" s="155"/>
    </row>
    <row r="98" spans="1:56" s="90" customFormat="1" ht="94.5" customHeight="1" x14ac:dyDescent="0.25">
      <c r="A98" s="295"/>
      <c r="B98" s="289"/>
      <c r="C98" s="118"/>
      <c r="D98" s="283"/>
      <c r="E98" s="112"/>
      <c r="F98" s="100" t="s">
        <v>390</v>
      </c>
      <c r="G98" s="117">
        <v>20</v>
      </c>
      <c r="H98" s="124" t="s">
        <v>391</v>
      </c>
      <c r="I98" s="113"/>
      <c r="J98" s="75"/>
      <c r="K98" s="75"/>
      <c r="L98" s="75"/>
      <c r="M98" s="75"/>
      <c r="N98" s="75"/>
      <c r="O98" s="75">
        <v>1</v>
      </c>
      <c r="P98" s="144"/>
      <c r="Q98" s="75">
        <v>0</v>
      </c>
      <c r="R98" s="75">
        <f t="shared" si="40"/>
        <v>1.5</v>
      </c>
      <c r="S98" s="75">
        <f t="shared" si="41"/>
        <v>3</v>
      </c>
      <c r="T98" s="75">
        <f t="shared" si="42"/>
        <v>4.5</v>
      </c>
      <c r="U98" s="75">
        <f t="shared" si="43"/>
        <v>9</v>
      </c>
      <c r="V98" s="75">
        <f t="shared" si="44"/>
        <v>15</v>
      </c>
      <c r="W98" s="140"/>
      <c r="X98" s="75">
        <f t="shared" si="28"/>
        <v>0</v>
      </c>
      <c r="Y98" s="75">
        <f t="shared" si="29"/>
        <v>0</v>
      </c>
      <c r="Z98" s="75">
        <f t="shared" si="30"/>
        <v>0</v>
      </c>
      <c r="AA98" s="75">
        <f t="shared" si="31"/>
        <v>0</v>
      </c>
      <c r="AB98" s="75">
        <f t="shared" si="32"/>
        <v>0</v>
      </c>
      <c r="AC98" s="75">
        <f t="shared" si="33"/>
        <v>15</v>
      </c>
      <c r="AD98" s="75">
        <f t="shared" si="34"/>
        <v>15</v>
      </c>
      <c r="AE98" s="301"/>
      <c r="AF98" s="155"/>
      <c r="AG98" s="155"/>
      <c r="AH98" s="155"/>
      <c r="AI98" s="155"/>
      <c r="AJ98" s="155"/>
      <c r="AK98" s="155"/>
      <c r="AL98" s="155"/>
      <c r="AM98" s="155"/>
      <c r="AN98" s="155"/>
      <c r="AO98" s="155"/>
      <c r="AP98" s="155"/>
      <c r="AQ98" s="155"/>
      <c r="AR98" s="155"/>
      <c r="AS98" s="155"/>
      <c r="AT98" s="155"/>
      <c r="AU98" s="155"/>
      <c r="AV98" s="155"/>
      <c r="AW98" s="155"/>
      <c r="AX98" s="155"/>
      <c r="AY98" s="155"/>
      <c r="AZ98" s="155"/>
      <c r="BA98" s="155"/>
      <c r="BB98" s="155"/>
      <c r="BC98" s="155"/>
      <c r="BD98" s="155"/>
    </row>
    <row r="99" spans="1:56" s="90" customFormat="1" ht="228" customHeight="1" x14ac:dyDescent="0.25">
      <c r="A99" s="293">
        <v>7</v>
      </c>
      <c r="B99" s="287" t="s">
        <v>47</v>
      </c>
      <c r="C99" s="93"/>
      <c r="D99" s="91" t="s">
        <v>224</v>
      </c>
      <c r="E99" s="93"/>
      <c r="F99" s="91" t="s">
        <v>225</v>
      </c>
      <c r="G99" s="88">
        <v>1</v>
      </c>
      <c r="H99" s="87" t="s">
        <v>226</v>
      </c>
      <c r="I99" s="89" t="s">
        <v>328</v>
      </c>
      <c r="J99" s="75"/>
      <c r="K99" s="75"/>
      <c r="L99" s="75"/>
      <c r="M99" s="75"/>
      <c r="N99" s="75"/>
      <c r="O99" s="75">
        <v>1</v>
      </c>
      <c r="P99" s="142"/>
      <c r="Q99" s="75">
        <v>0</v>
      </c>
      <c r="R99" s="75">
        <f>17*0.1</f>
        <v>1.7000000000000002</v>
      </c>
      <c r="S99" s="75">
        <f>17*0.2</f>
        <v>3.4000000000000004</v>
      </c>
      <c r="T99" s="75">
        <f>17*0.3</f>
        <v>5.0999999999999996</v>
      </c>
      <c r="U99" s="75">
        <f>17*0.6</f>
        <v>10.199999999999999</v>
      </c>
      <c r="V99" s="75">
        <f>17*1</f>
        <v>17</v>
      </c>
      <c r="W99" s="140"/>
      <c r="X99" s="75">
        <f t="shared" si="28"/>
        <v>0</v>
      </c>
      <c r="Y99" s="75">
        <f t="shared" si="29"/>
        <v>0</v>
      </c>
      <c r="Z99" s="75">
        <f t="shared" si="30"/>
        <v>0</v>
      </c>
      <c r="AA99" s="75">
        <f t="shared" si="31"/>
        <v>0</v>
      </c>
      <c r="AB99" s="75">
        <f t="shared" si="32"/>
        <v>0</v>
      </c>
      <c r="AC99" s="75">
        <f t="shared" si="33"/>
        <v>17</v>
      </c>
      <c r="AD99" s="75">
        <f t="shared" si="34"/>
        <v>17</v>
      </c>
      <c r="AE99" s="299">
        <f>+SUM(AD99:AD109)</f>
        <v>180</v>
      </c>
      <c r="AF99" s="155"/>
      <c r="AG99" s="155"/>
      <c r="AH99" s="155"/>
      <c r="AI99" s="155"/>
      <c r="AJ99" s="155"/>
      <c r="AK99" s="155"/>
      <c r="AL99" s="155"/>
      <c r="AM99" s="155"/>
      <c r="AN99" s="155"/>
      <c r="AO99" s="155"/>
      <c r="AP99" s="155"/>
      <c r="AQ99" s="155"/>
      <c r="AR99" s="155"/>
      <c r="AS99" s="155"/>
      <c r="AT99" s="155"/>
      <c r="AU99" s="155"/>
      <c r="AV99" s="155"/>
      <c r="AW99" s="155"/>
      <c r="AX99" s="155"/>
      <c r="AY99" s="155"/>
      <c r="AZ99" s="155"/>
      <c r="BA99" s="155"/>
      <c r="BB99" s="155"/>
      <c r="BC99" s="155"/>
      <c r="BD99" s="155"/>
    </row>
    <row r="100" spans="1:56" s="90" customFormat="1" ht="239.25" customHeight="1" x14ac:dyDescent="0.25">
      <c r="A100" s="294"/>
      <c r="B100" s="288"/>
      <c r="C100" s="94"/>
      <c r="D100" s="95"/>
      <c r="E100" s="94"/>
      <c r="F100" s="95"/>
      <c r="G100" s="88">
        <v>2</v>
      </c>
      <c r="H100" s="133" t="s">
        <v>404</v>
      </c>
      <c r="I100" s="89"/>
      <c r="J100" s="75"/>
      <c r="K100" s="75"/>
      <c r="L100" s="75"/>
      <c r="M100" s="75"/>
      <c r="N100" s="75"/>
      <c r="O100" s="75">
        <v>1</v>
      </c>
      <c r="P100" s="144"/>
      <c r="Q100" s="75">
        <v>0</v>
      </c>
      <c r="R100" s="75">
        <f>17*0.1</f>
        <v>1.7000000000000002</v>
      </c>
      <c r="S100" s="75">
        <f>17*0.2</f>
        <v>3.4000000000000004</v>
      </c>
      <c r="T100" s="75">
        <f>17*0.3</f>
        <v>5.0999999999999996</v>
      </c>
      <c r="U100" s="75">
        <f>17*0.6</f>
        <v>10.199999999999999</v>
      </c>
      <c r="V100" s="75">
        <f>17*1</f>
        <v>17</v>
      </c>
      <c r="W100" s="140"/>
      <c r="X100" s="75">
        <f t="shared" si="28"/>
        <v>0</v>
      </c>
      <c r="Y100" s="75">
        <f t="shared" si="29"/>
        <v>0</v>
      </c>
      <c r="Z100" s="75">
        <f t="shared" si="30"/>
        <v>0</v>
      </c>
      <c r="AA100" s="75">
        <f t="shared" si="31"/>
        <v>0</v>
      </c>
      <c r="AB100" s="75">
        <f t="shared" si="32"/>
        <v>0</v>
      </c>
      <c r="AC100" s="75">
        <f t="shared" si="33"/>
        <v>17</v>
      </c>
      <c r="AD100" s="75">
        <f t="shared" si="34"/>
        <v>17</v>
      </c>
      <c r="AE100" s="300"/>
      <c r="AF100" s="155"/>
      <c r="AG100" s="155"/>
      <c r="AH100" s="155"/>
      <c r="AI100" s="155"/>
      <c r="AJ100" s="155"/>
      <c r="AK100" s="155"/>
      <c r="AL100" s="155"/>
      <c r="AM100" s="155"/>
      <c r="AN100" s="155"/>
      <c r="AO100" s="155"/>
      <c r="AP100" s="155"/>
      <c r="AQ100" s="155"/>
      <c r="AR100" s="155"/>
      <c r="AS100" s="155"/>
      <c r="AT100" s="155"/>
      <c r="AU100" s="155"/>
      <c r="AV100" s="155"/>
      <c r="AW100" s="155"/>
      <c r="AX100" s="155"/>
      <c r="AY100" s="155"/>
      <c r="AZ100" s="155"/>
      <c r="BA100" s="155"/>
      <c r="BB100" s="155"/>
      <c r="BC100" s="155"/>
      <c r="BD100" s="155"/>
    </row>
    <row r="101" spans="1:56" s="90" customFormat="1" ht="92.25" customHeight="1" x14ac:dyDescent="0.25">
      <c r="A101" s="294"/>
      <c r="B101" s="288"/>
      <c r="C101" s="94"/>
      <c r="D101" s="95"/>
      <c r="E101" s="94"/>
      <c r="F101" s="95"/>
      <c r="G101" s="88">
        <v>3</v>
      </c>
      <c r="H101" s="133" t="s">
        <v>405</v>
      </c>
      <c r="I101" s="89"/>
      <c r="J101" s="75"/>
      <c r="K101" s="75"/>
      <c r="L101" s="75"/>
      <c r="M101" s="75"/>
      <c r="N101" s="75"/>
      <c r="O101" s="75">
        <v>1</v>
      </c>
      <c r="P101" s="144"/>
      <c r="Q101" s="75">
        <v>0</v>
      </c>
      <c r="R101" s="75">
        <f>17*0.1</f>
        <v>1.7000000000000002</v>
      </c>
      <c r="S101" s="75">
        <f>17*0.2</f>
        <v>3.4000000000000004</v>
      </c>
      <c r="T101" s="75">
        <f>17*0.3</f>
        <v>5.0999999999999996</v>
      </c>
      <c r="U101" s="75">
        <f>17*0.6</f>
        <v>10.199999999999999</v>
      </c>
      <c r="V101" s="75">
        <f>17*1</f>
        <v>17</v>
      </c>
      <c r="W101" s="140"/>
      <c r="X101" s="75">
        <f t="shared" si="28"/>
        <v>0</v>
      </c>
      <c r="Y101" s="75">
        <f t="shared" si="29"/>
        <v>0</v>
      </c>
      <c r="Z101" s="75">
        <f t="shared" si="30"/>
        <v>0</v>
      </c>
      <c r="AA101" s="75">
        <f t="shared" si="31"/>
        <v>0</v>
      </c>
      <c r="AB101" s="75">
        <f t="shared" si="32"/>
        <v>0</v>
      </c>
      <c r="AC101" s="75">
        <f t="shared" si="33"/>
        <v>17</v>
      </c>
      <c r="AD101" s="75">
        <f t="shared" si="34"/>
        <v>17</v>
      </c>
      <c r="AE101" s="300"/>
      <c r="AF101" s="155"/>
      <c r="AG101" s="155"/>
      <c r="AH101" s="155"/>
      <c r="AI101" s="155"/>
      <c r="AJ101" s="155"/>
      <c r="AK101" s="155"/>
      <c r="AL101" s="155"/>
      <c r="AM101" s="155"/>
      <c r="AN101" s="155"/>
      <c r="AO101" s="155"/>
      <c r="AP101" s="155"/>
      <c r="AQ101" s="155"/>
      <c r="AR101" s="155"/>
      <c r="AS101" s="155"/>
      <c r="AT101" s="155"/>
      <c r="AU101" s="155"/>
      <c r="AV101" s="155"/>
      <c r="AW101" s="155"/>
      <c r="AX101" s="155"/>
      <c r="AY101" s="155"/>
      <c r="AZ101" s="155"/>
      <c r="BA101" s="155"/>
      <c r="BB101" s="155"/>
      <c r="BC101" s="155"/>
      <c r="BD101" s="155"/>
    </row>
    <row r="102" spans="1:56" s="90" customFormat="1" ht="127.5" customHeight="1" x14ac:dyDescent="0.25">
      <c r="A102" s="294"/>
      <c r="B102" s="288"/>
      <c r="C102" s="94"/>
      <c r="D102" s="95"/>
      <c r="E102" s="94"/>
      <c r="F102" s="95"/>
      <c r="G102" s="88">
        <v>4</v>
      </c>
      <c r="H102" s="87" t="s">
        <v>227</v>
      </c>
      <c r="I102" s="89"/>
      <c r="J102" s="75"/>
      <c r="K102" s="75"/>
      <c r="L102" s="75"/>
      <c r="M102" s="75"/>
      <c r="N102" s="75"/>
      <c r="O102" s="75">
        <v>1</v>
      </c>
      <c r="P102" s="143"/>
      <c r="Q102" s="75">
        <v>0</v>
      </c>
      <c r="R102" s="75">
        <f>17*0.1</f>
        <v>1.7000000000000002</v>
      </c>
      <c r="S102" s="75">
        <f>17*0.2</f>
        <v>3.4000000000000004</v>
      </c>
      <c r="T102" s="75">
        <f>17*0.3</f>
        <v>5.0999999999999996</v>
      </c>
      <c r="U102" s="75">
        <f>17*0.6</f>
        <v>10.199999999999999</v>
      </c>
      <c r="V102" s="75">
        <f>17*1</f>
        <v>17</v>
      </c>
      <c r="W102" s="140"/>
      <c r="X102" s="75">
        <f t="shared" si="28"/>
        <v>0</v>
      </c>
      <c r="Y102" s="75">
        <f t="shared" si="29"/>
        <v>0</v>
      </c>
      <c r="Z102" s="75">
        <f t="shared" si="30"/>
        <v>0</v>
      </c>
      <c r="AA102" s="75">
        <f t="shared" si="31"/>
        <v>0</v>
      </c>
      <c r="AB102" s="75">
        <f t="shared" si="32"/>
        <v>0</v>
      </c>
      <c r="AC102" s="75">
        <f t="shared" si="33"/>
        <v>17</v>
      </c>
      <c r="AD102" s="75">
        <f t="shared" si="34"/>
        <v>17</v>
      </c>
      <c r="AE102" s="300"/>
      <c r="AF102" s="155"/>
      <c r="AG102" s="155"/>
      <c r="AH102" s="155"/>
      <c r="AI102" s="155"/>
      <c r="AJ102" s="155"/>
      <c r="AK102" s="155"/>
      <c r="AL102" s="155"/>
      <c r="AM102" s="155"/>
      <c r="AN102" s="155"/>
      <c r="AO102" s="155"/>
      <c r="AP102" s="155"/>
      <c r="AQ102" s="155"/>
      <c r="AR102" s="155"/>
      <c r="AS102" s="155"/>
      <c r="AT102" s="155"/>
      <c r="AU102" s="155"/>
      <c r="AV102" s="155"/>
      <c r="AW102" s="155"/>
      <c r="AX102" s="155"/>
      <c r="AY102" s="155"/>
      <c r="AZ102" s="155"/>
      <c r="BA102" s="155"/>
      <c r="BB102" s="155"/>
      <c r="BC102" s="155"/>
      <c r="BD102" s="155"/>
    </row>
    <row r="103" spans="1:56" s="90" customFormat="1" ht="83.25" customHeight="1" x14ac:dyDescent="0.25">
      <c r="A103" s="294"/>
      <c r="B103" s="288"/>
      <c r="C103" s="96"/>
      <c r="D103" s="92"/>
      <c r="E103" s="96"/>
      <c r="F103" s="92"/>
      <c r="G103" s="88">
        <v>5</v>
      </c>
      <c r="H103" s="87" t="s">
        <v>228</v>
      </c>
      <c r="I103" s="89"/>
      <c r="J103" s="75"/>
      <c r="K103" s="75"/>
      <c r="L103" s="75"/>
      <c r="M103" s="75"/>
      <c r="N103" s="75"/>
      <c r="O103" s="75">
        <v>1</v>
      </c>
      <c r="P103" s="142"/>
      <c r="Q103" s="75">
        <v>0</v>
      </c>
      <c r="R103" s="75">
        <f t="shared" ref="R100:R109" si="45">16*0.1</f>
        <v>1.6</v>
      </c>
      <c r="S103" s="75">
        <f t="shared" ref="S100:S109" si="46">16*0.2</f>
        <v>3.2</v>
      </c>
      <c r="T103" s="75">
        <f t="shared" ref="T100:T109" si="47">16*0.3</f>
        <v>4.8</v>
      </c>
      <c r="U103" s="75">
        <f t="shared" ref="U100:U109" si="48">16*0.6</f>
        <v>9.6</v>
      </c>
      <c r="V103" s="75">
        <f t="shared" ref="V100:V109" si="49">16*1</f>
        <v>16</v>
      </c>
      <c r="W103" s="140"/>
      <c r="X103" s="75">
        <f t="shared" si="28"/>
        <v>0</v>
      </c>
      <c r="Y103" s="75">
        <f t="shared" si="29"/>
        <v>0</v>
      </c>
      <c r="Z103" s="75">
        <f t="shared" si="30"/>
        <v>0</v>
      </c>
      <c r="AA103" s="75">
        <f t="shared" si="31"/>
        <v>0</v>
      </c>
      <c r="AB103" s="75">
        <f t="shared" si="32"/>
        <v>0</v>
      </c>
      <c r="AC103" s="75">
        <f t="shared" si="33"/>
        <v>16</v>
      </c>
      <c r="AD103" s="75">
        <f t="shared" si="34"/>
        <v>16</v>
      </c>
      <c r="AE103" s="300"/>
      <c r="AF103" s="155"/>
      <c r="AG103" s="155"/>
      <c r="AH103" s="155"/>
      <c r="AI103" s="155"/>
      <c r="AJ103" s="155"/>
      <c r="AK103" s="155"/>
      <c r="AL103" s="155"/>
      <c r="AM103" s="155"/>
      <c r="AN103" s="155"/>
      <c r="AO103" s="155"/>
      <c r="AP103" s="155"/>
      <c r="AQ103" s="155"/>
      <c r="AR103" s="155"/>
      <c r="AS103" s="155"/>
      <c r="AT103" s="155"/>
      <c r="AU103" s="155"/>
      <c r="AV103" s="155"/>
      <c r="AW103" s="155"/>
      <c r="AX103" s="155"/>
      <c r="AY103" s="155"/>
      <c r="AZ103" s="155"/>
      <c r="BA103" s="155"/>
      <c r="BB103" s="155"/>
      <c r="BC103" s="155"/>
      <c r="BD103" s="155"/>
    </row>
    <row r="104" spans="1:56" s="90" customFormat="1" ht="216" customHeight="1" x14ac:dyDescent="0.25">
      <c r="A104" s="294"/>
      <c r="B104" s="288"/>
      <c r="C104" s="93"/>
      <c r="D104" s="91" t="s">
        <v>229</v>
      </c>
      <c r="E104" s="93"/>
      <c r="F104" s="91" t="s">
        <v>230</v>
      </c>
      <c r="G104" s="88">
        <v>6</v>
      </c>
      <c r="H104" s="87" t="s">
        <v>231</v>
      </c>
      <c r="I104" s="100" t="s">
        <v>329</v>
      </c>
      <c r="J104" s="75"/>
      <c r="K104" s="75"/>
      <c r="L104" s="75"/>
      <c r="M104" s="75"/>
      <c r="N104" s="75"/>
      <c r="O104" s="75">
        <v>1</v>
      </c>
      <c r="P104" s="143"/>
      <c r="Q104" s="75">
        <v>0</v>
      </c>
      <c r="R104" s="75">
        <f t="shared" si="45"/>
        <v>1.6</v>
      </c>
      <c r="S104" s="75">
        <f t="shared" si="46"/>
        <v>3.2</v>
      </c>
      <c r="T104" s="75">
        <f t="shared" si="47"/>
        <v>4.8</v>
      </c>
      <c r="U104" s="75">
        <f t="shared" si="48"/>
        <v>9.6</v>
      </c>
      <c r="V104" s="75">
        <f t="shared" si="49"/>
        <v>16</v>
      </c>
      <c r="W104" s="140"/>
      <c r="X104" s="75">
        <f t="shared" si="28"/>
        <v>0</v>
      </c>
      <c r="Y104" s="75">
        <f t="shared" si="29"/>
        <v>0</v>
      </c>
      <c r="Z104" s="75">
        <f t="shared" si="30"/>
        <v>0</v>
      </c>
      <c r="AA104" s="75">
        <f t="shared" si="31"/>
        <v>0</v>
      </c>
      <c r="AB104" s="75">
        <f t="shared" si="32"/>
        <v>0</v>
      </c>
      <c r="AC104" s="75">
        <f t="shared" si="33"/>
        <v>16</v>
      </c>
      <c r="AD104" s="75">
        <f t="shared" si="34"/>
        <v>16</v>
      </c>
      <c r="AE104" s="300"/>
      <c r="AF104" s="155"/>
      <c r="AG104" s="155"/>
      <c r="AH104" s="155"/>
      <c r="AI104" s="155"/>
      <c r="AJ104" s="155"/>
      <c r="AK104" s="155"/>
      <c r="AL104" s="155"/>
      <c r="AM104" s="155"/>
      <c r="AN104" s="155"/>
      <c r="AO104" s="155"/>
      <c r="AP104" s="155"/>
      <c r="AQ104" s="155"/>
      <c r="AR104" s="155"/>
      <c r="AS104" s="155"/>
      <c r="AT104" s="155"/>
      <c r="AU104" s="155"/>
      <c r="AV104" s="155"/>
      <c r="AW104" s="155"/>
      <c r="AX104" s="155"/>
      <c r="AY104" s="155"/>
      <c r="AZ104" s="155"/>
      <c r="BA104" s="155"/>
      <c r="BB104" s="155"/>
      <c r="BC104" s="155"/>
      <c r="BD104" s="155"/>
    </row>
    <row r="105" spans="1:56" s="90" customFormat="1" ht="98.25" customHeight="1" x14ac:dyDescent="0.25">
      <c r="A105" s="294"/>
      <c r="B105" s="288"/>
      <c r="C105" s="94"/>
      <c r="D105" s="95"/>
      <c r="E105" s="94"/>
      <c r="F105" s="95"/>
      <c r="G105" s="88">
        <v>7</v>
      </c>
      <c r="H105" s="134" t="s">
        <v>369</v>
      </c>
      <c r="I105" s="102"/>
      <c r="J105" s="75"/>
      <c r="K105" s="75"/>
      <c r="L105" s="75"/>
      <c r="M105" s="75"/>
      <c r="N105" s="75"/>
      <c r="O105" s="75">
        <v>1</v>
      </c>
      <c r="P105" s="145"/>
      <c r="Q105" s="75">
        <v>0</v>
      </c>
      <c r="R105" s="75">
        <f t="shared" si="45"/>
        <v>1.6</v>
      </c>
      <c r="S105" s="75">
        <f t="shared" si="46"/>
        <v>3.2</v>
      </c>
      <c r="T105" s="75">
        <f t="shared" si="47"/>
        <v>4.8</v>
      </c>
      <c r="U105" s="75">
        <f t="shared" si="48"/>
        <v>9.6</v>
      </c>
      <c r="V105" s="75">
        <f t="shared" si="49"/>
        <v>16</v>
      </c>
      <c r="W105" s="140"/>
      <c r="X105" s="75">
        <f t="shared" si="28"/>
        <v>0</v>
      </c>
      <c r="Y105" s="75">
        <f t="shared" si="29"/>
        <v>0</v>
      </c>
      <c r="Z105" s="75">
        <f t="shared" si="30"/>
        <v>0</v>
      </c>
      <c r="AA105" s="75">
        <f t="shared" si="31"/>
        <v>0</v>
      </c>
      <c r="AB105" s="75">
        <f t="shared" si="32"/>
        <v>0</v>
      </c>
      <c r="AC105" s="75">
        <f t="shared" si="33"/>
        <v>16</v>
      </c>
      <c r="AD105" s="75">
        <f t="shared" si="34"/>
        <v>16</v>
      </c>
      <c r="AE105" s="300"/>
      <c r="AF105" s="155"/>
      <c r="AG105" s="155"/>
      <c r="AH105" s="155"/>
      <c r="AI105" s="155"/>
      <c r="AJ105" s="155"/>
      <c r="AK105" s="155"/>
      <c r="AL105" s="155"/>
      <c r="AM105" s="155"/>
      <c r="AN105" s="155"/>
      <c r="AO105" s="155"/>
      <c r="AP105" s="155"/>
      <c r="AQ105" s="155"/>
      <c r="AR105" s="155"/>
      <c r="AS105" s="155"/>
      <c r="AT105" s="155"/>
      <c r="AU105" s="155"/>
      <c r="AV105" s="155"/>
      <c r="AW105" s="155"/>
      <c r="AX105" s="155"/>
      <c r="AY105" s="155"/>
      <c r="AZ105" s="155"/>
      <c r="BA105" s="155"/>
      <c r="BB105" s="155"/>
      <c r="BC105" s="155"/>
      <c r="BD105" s="155"/>
    </row>
    <row r="106" spans="1:56" s="90" customFormat="1" ht="162" customHeight="1" x14ac:dyDescent="0.25">
      <c r="A106" s="294"/>
      <c r="B106" s="288"/>
      <c r="C106" s="96"/>
      <c r="D106" s="92"/>
      <c r="E106" s="96"/>
      <c r="F106" s="92"/>
      <c r="G106" s="88">
        <v>8</v>
      </c>
      <c r="H106" s="87" t="s">
        <v>232</v>
      </c>
      <c r="I106" s="104"/>
      <c r="J106" s="75"/>
      <c r="K106" s="75"/>
      <c r="L106" s="75"/>
      <c r="M106" s="75"/>
      <c r="N106" s="75"/>
      <c r="O106" s="75">
        <v>1</v>
      </c>
      <c r="P106" s="142"/>
      <c r="Q106" s="75">
        <v>0</v>
      </c>
      <c r="R106" s="75">
        <f t="shared" si="45"/>
        <v>1.6</v>
      </c>
      <c r="S106" s="75">
        <f t="shared" si="46"/>
        <v>3.2</v>
      </c>
      <c r="T106" s="75">
        <f t="shared" si="47"/>
        <v>4.8</v>
      </c>
      <c r="U106" s="75">
        <f t="shared" si="48"/>
        <v>9.6</v>
      </c>
      <c r="V106" s="75">
        <f t="shared" si="49"/>
        <v>16</v>
      </c>
      <c r="W106" s="140"/>
      <c r="X106" s="75">
        <f t="shared" si="28"/>
        <v>0</v>
      </c>
      <c r="Y106" s="75">
        <f t="shared" si="29"/>
        <v>0</v>
      </c>
      <c r="Z106" s="75">
        <f t="shared" si="30"/>
        <v>0</v>
      </c>
      <c r="AA106" s="75">
        <f t="shared" si="31"/>
        <v>0</v>
      </c>
      <c r="AB106" s="75">
        <f t="shared" si="32"/>
        <v>0</v>
      </c>
      <c r="AC106" s="75">
        <f t="shared" si="33"/>
        <v>16</v>
      </c>
      <c r="AD106" s="75">
        <f t="shared" si="34"/>
        <v>16</v>
      </c>
      <c r="AE106" s="300"/>
      <c r="AF106" s="155"/>
      <c r="AG106" s="155"/>
      <c r="AH106" s="155"/>
      <c r="AI106" s="155"/>
      <c r="AJ106" s="155"/>
      <c r="AK106" s="155"/>
      <c r="AL106" s="155"/>
      <c r="AM106" s="155"/>
      <c r="AN106" s="155"/>
      <c r="AO106" s="155"/>
      <c r="AP106" s="155"/>
      <c r="AQ106" s="155"/>
      <c r="AR106" s="155"/>
      <c r="AS106" s="155"/>
      <c r="AT106" s="155"/>
      <c r="AU106" s="155"/>
      <c r="AV106" s="155"/>
      <c r="AW106" s="155"/>
      <c r="AX106" s="155"/>
      <c r="AY106" s="155"/>
      <c r="AZ106" s="155"/>
      <c r="BA106" s="155"/>
      <c r="BB106" s="155"/>
      <c r="BC106" s="155"/>
      <c r="BD106" s="155"/>
    </row>
    <row r="107" spans="1:56" s="90" customFormat="1" ht="133.5" customHeight="1" x14ac:dyDescent="0.25">
      <c r="A107" s="294"/>
      <c r="B107" s="288"/>
      <c r="C107" s="93"/>
      <c r="D107" s="91" t="s">
        <v>48</v>
      </c>
      <c r="E107" s="93"/>
      <c r="F107" s="91" t="s">
        <v>233</v>
      </c>
      <c r="G107" s="88">
        <v>9</v>
      </c>
      <c r="H107" s="87" t="s">
        <v>234</v>
      </c>
      <c r="I107" s="89" t="s">
        <v>330</v>
      </c>
      <c r="J107" s="75"/>
      <c r="K107" s="75"/>
      <c r="L107" s="75"/>
      <c r="M107" s="75"/>
      <c r="N107" s="75"/>
      <c r="O107" s="75">
        <v>1</v>
      </c>
      <c r="P107" s="143"/>
      <c r="Q107" s="75">
        <v>0</v>
      </c>
      <c r="R107" s="75">
        <f t="shared" si="45"/>
        <v>1.6</v>
      </c>
      <c r="S107" s="75">
        <f t="shared" si="46"/>
        <v>3.2</v>
      </c>
      <c r="T107" s="75">
        <f t="shared" si="47"/>
        <v>4.8</v>
      </c>
      <c r="U107" s="75">
        <f t="shared" si="48"/>
        <v>9.6</v>
      </c>
      <c r="V107" s="75">
        <f t="shared" si="49"/>
        <v>16</v>
      </c>
      <c r="W107" s="140"/>
      <c r="X107" s="75">
        <f t="shared" si="28"/>
        <v>0</v>
      </c>
      <c r="Y107" s="75">
        <f t="shared" si="29"/>
        <v>0</v>
      </c>
      <c r="Z107" s="75">
        <f t="shared" si="30"/>
        <v>0</v>
      </c>
      <c r="AA107" s="75">
        <f t="shared" si="31"/>
        <v>0</v>
      </c>
      <c r="AB107" s="75">
        <f t="shared" si="32"/>
        <v>0</v>
      </c>
      <c r="AC107" s="75">
        <f t="shared" si="33"/>
        <v>16</v>
      </c>
      <c r="AD107" s="75">
        <f t="shared" si="34"/>
        <v>16</v>
      </c>
      <c r="AE107" s="300"/>
      <c r="AF107" s="155"/>
      <c r="AG107" s="155"/>
      <c r="AH107" s="155"/>
      <c r="AI107" s="155"/>
      <c r="AJ107" s="155"/>
      <c r="AK107" s="155"/>
      <c r="AL107" s="155"/>
      <c r="AM107" s="155"/>
      <c r="AN107" s="155"/>
      <c r="AO107" s="155"/>
      <c r="AP107" s="155"/>
      <c r="AQ107" s="155"/>
      <c r="AR107" s="155"/>
      <c r="AS107" s="155"/>
      <c r="AT107" s="155"/>
      <c r="AU107" s="155"/>
      <c r="AV107" s="155"/>
      <c r="AW107" s="155"/>
      <c r="AX107" s="155"/>
      <c r="AY107" s="155"/>
      <c r="AZ107" s="155"/>
      <c r="BA107" s="155"/>
      <c r="BB107" s="155"/>
      <c r="BC107" s="155"/>
      <c r="BD107" s="155"/>
    </row>
    <row r="108" spans="1:56" s="90" customFormat="1" ht="110.25" customHeight="1" x14ac:dyDescent="0.25">
      <c r="A108" s="294"/>
      <c r="B108" s="288"/>
      <c r="C108" s="94"/>
      <c r="D108" s="95"/>
      <c r="E108" s="94"/>
      <c r="F108" s="95"/>
      <c r="G108" s="88">
        <v>10</v>
      </c>
      <c r="H108" s="134" t="s">
        <v>370</v>
      </c>
      <c r="I108" s="122" t="s">
        <v>406</v>
      </c>
      <c r="J108" s="75"/>
      <c r="K108" s="75"/>
      <c r="L108" s="75"/>
      <c r="M108" s="75"/>
      <c r="N108" s="75"/>
      <c r="O108" s="75">
        <v>1</v>
      </c>
      <c r="P108" s="145"/>
      <c r="Q108" s="75">
        <v>0</v>
      </c>
      <c r="R108" s="75">
        <f t="shared" si="45"/>
        <v>1.6</v>
      </c>
      <c r="S108" s="75">
        <f t="shared" si="46"/>
        <v>3.2</v>
      </c>
      <c r="T108" s="75">
        <f t="shared" si="47"/>
        <v>4.8</v>
      </c>
      <c r="U108" s="75">
        <f t="shared" si="48"/>
        <v>9.6</v>
      </c>
      <c r="V108" s="75">
        <f t="shared" si="49"/>
        <v>16</v>
      </c>
      <c r="W108" s="140"/>
      <c r="X108" s="75">
        <f t="shared" si="28"/>
        <v>0</v>
      </c>
      <c r="Y108" s="75">
        <f t="shared" si="29"/>
        <v>0</v>
      </c>
      <c r="Z108" s="75">
        <f t="shared" si="30"/>
        <v>0</v>
      </c>
      <c r="AA108" s="75">
        <f t="shared" si="31"/>
        <v>0</v>
      </c>
      <c r="AB108" s="75">
        <f t="shared" si="32"/>
        <v>0</v>
      </c>
      <c r="AC108" s="75">
        <f t="shared" si="33"/>
        <v>16</v>
      </c>
      <c r="AD108" s="75">
        <f t="shared" si="34"/>
        <v>16</v>
      </c>
      <c r="AE108" s="300"/>
      <c r="AF108" s="155"/>
      <c r="AG108" s="155"/>
      <c r="AH108" s="155"/>
      <c r="AI108" s="155"/>
      <c r="AJ108" s="155"/>
      <c r="AK108" s="155"/>
      <c r="AL108" s="155"/>
      <c r="AM108" s="155"/>
      <c r="AN108" s="155"/>
      <c r="AO108" s="155"/>
      <c r="AP108" s="155"/>
      <c r="AQ108" s="155"/>
      <c r="AR108" s="155"/>
      <c r="AS108" s="155"/>
      <c r="AT108" s="155"/>
      <c r="AU108" s="155"/>
      <c r="AV108" s="155"/>
      <c r="AW108" s="155"/>
      <c r="AX108" s="155"/>
      <c r="AY108" s="155"/>
      <c r="AZ108" s="155"/>
      <c r="BA108" s="155"/>
      <c r="BB108" s="155"/>
      <c r="BC108" s="155"/>
      <c r="BD108" s="155"/>
    </row>
    <row r="109" spans="1:56" s="90" customFormat="1" ht="116.25" customHeight="1" x14ac:dyDescent="0.25">
      <c r="A109" s="295"/>
      <c r="B109" s="289"/>
      <c r="C109" s="96"/>
      <c r="D109" s="92"/>
      <c r="E109" s="96"/>
      <c r="F109" s="92"/>
      <c r="G109" s="88">
        <v>11</v>
      </c>
      <c r="H109" s="87" t="s">
        <v>235</v>
      </c>
      <c r="I109" s="89"/>
      <c r="J109" s="75"/>
      <c r="K109" s="75"/>
      <c r="L109" s="75"/>
      <c r="M109" s="75"/>
      <c r="N109" s="75"/>
      <c r="O109" s="75">
        <v>1</v>
      </c>
      <c r="P109" s="142"/>
      <c r="Q109" s="75">
        <v>0</v>
      </c>
      <c r="R109" s="75">
        <f t="shared" si="45"/>
        <v>1.6</v>
      </c>
      <c r="S109" s="75">
        <f t="shared" si="46"/>
        <v>3.2</v>
      </c>
      <c r="T109" s="75">
        <f t="shared" si="47"/>
        <v>4.8</v>
      </c>
      <c r="U109" s="75">
        <f t="shared" si="48"/>
        <v>9.6</v>
      </c>
      <c r="V109" s="75">
        <f t="shared" si="49"/>
        <v>16</v>
      </c>
      <c r="W109" s="140"/>
      <c r="X109" s="75">
        <f t="shared" si="28"/>
        <v>0</v>
      </c>
      <c r="Y109" s="75">
        <f t="shared" si="29"/>
        <v>0</v>
      </c>
      <c r="Z109" s="75">
        <f t="shared" si="30"/>
        <v>0</v>
      </c>
      <c r="AA109" s="75">
        <f t="shared" si="31"/>
        <v>0</v>
      </c>
      <c r="AB109" s="75">
        <f t="shared" si="32"/>
        <v>0</v>
      </c>
      <c r="AC109" s="75">
        <f t="shared" si="33"/>
        <v>16</v>
      </c>
      <c r="AD109" s="75">
        <f t="shared" si="34"/>
        <v>16</v>
      </c>
      <c r="AE109" s="301"/>
      <c r="AF109" s="155"/>
      <c r="AG109" s="155"/>
      <c r="AH109" s="155"/>
      <c r="AI109" s="155"/>
      <c r="AJ109" s="155"/>
      <c r="AK109" s="155"/>
      <c r="AL109" s="155"/>
      <c r="AM109" s="155"/>
      <c r="AN109" s="155"/>
      <c r="AO109" s="155"/>
      <c r="AP109" s="155"/>
      <c r="AQ109" s="155"/>
      <c r="AR109" s="155"/>
      <c r="AS109" s="155"/>
      <c r="AT109" s="155"/>
      <c r="AU109" s="155"/>
      <c r="AV109" s="155"/>
      <c r="AW109" s="155"/>
      <c r="AX109" s="155"/>
      <c r="AY109" s="155"/>
      <c r="AZ109" s="155"/>
      <c r="BA109" s="155"/>
      <c r="BB109" s="155"/>
      <c r="BC109" s="155"/>
      <c r="BD109" s="155"/>
    </row>
    <row r="110" spans="1:56" s="90" customFormat="1" ht="71.25" customHeight="1" x14ac:dyDescent="0.25">
      <c r="A110" s="293">
        <v>8</v>
      </c>
      <c r="B110" s="287" t="s">
        <v>49</v>
      </c>
      <c r="C110" s="93"/>
      <c r="D110" s="91" t="s">
        <v>236</v>
      </c>
      <c r="E110" s="93"/>
      <c r="F110" s="91" t="s">
        <v>237</v>
      </c>
      <c r="G110" s="88">
        <v>1</v>
      </c>
      <c r="H110" s="87" t="s">
        <v>238</v>
      </c>
      <c r="I110" s="89" t="s">
        <v>290</v>
      </c>
      <c r="J110" s="75"/>
      <c r="K110" s="75"/>
      <c r="L110" s="75"/>
      <c r="M110" s="75"/>
      <c r="N110" s="75"/>
      <c r="O110" s="75">
        <v>1</v>
      </c>
      <c r="P110" s="143"/>
      <c r="Q110" s="75">
        <v>0</v>
      </c>
      <c r="R110" s="75">
        <f>52*0.1</f>
        <v>5.2</v>
      </c>
      <c r="S110" s="75">
        <f>52*0.2</f>
        <v>10.4</v>
      </c>
      <c r="T110" s="75">
        <f>52*0.3</f>
        <v>15.6</v>
      </c>
      <c r="U110" s="75">
        <f>52*0.6</f>
        <v>31.2</v>
      </c>
      <c r="V110" s="75">
        <f>52*1</f>
        <v>52</v>
      </c>
      <c r="W110" s="140"/>
      <c r="X110" s="75">
        <f t="shared" si="28"/>
        <v>0</v>
      </c>
      <c r="Y110" s="75">
        <f t="shared" si="29"/>
        <v>0</v>
      </c>
      <c r="Z110" s="75">
        <f t="shared" si="30"/>
        <v>0</v>
      </c>
      <c r="AA110" s="75">
        <f t="shared" si="31"/>
        <v>0</v>
      </c>
      <c r="AB110" s="75">
        <f t="shared" si="32"/>
        <v>0</v>
      </c>
      <c r="AC110" s="75">
        <f t="shared" si="33"/>
        <v>52</v>
      </c>
      <c r="AD110" s="75">
        <f t="shared" si="34"/>
        <v>52</v>
      </c>
      <c r="AE110" s="299">
        <f>+SUM(AD110:AD114)</f>
        <v>260</v>
      </c>
      <c r="AF110" s="155"/>
      <c r="AG110" s="155"/>
      <c r="AH110" s="155"/>
      <c r="AI110" s="155"/>
      <c r="AJ110" s="155"/>
      <c r="AK110" s="155"/>
      <c r="AL110" s="155"/>
      <c r="AM110" s="155"/>
      <c r="AN110" s="155"/>
      <c r="AO110" s="155"/>
      <c r="AP110" s="155"/>
      <c r="AQ110" s="155"/>
      <c r="AR110" s="155"/>
      <c r="AS110" s="155"/>
      <c r="AT110" s="155"/>
      <c r="AU110" s="155"/>
      <c r="AV110" s="155"/>
      <c r="AW110" s="155"/>
      <c r="AX110" s="155"/>
      <c r="AY110" s="155"/>
      <c r="AZ110" s="155"/>
      <c r="BA110" s="155"/>
      <c r="BB110" s="155"/>
      <c r="BC110" s="155"/>
      <c r="BD110" s="155"/>
    </row>
    <row r="111" spans="1:56" s="90" customFormat="1" ht="68.25" customHeight="1" x14ac:dyDescent="0.25">
      <c r="A111" s="294"/>
      <c r="B111" s="288"/>
      <c r="C111" s="94"/>
      <c r="D111" s="95"/>
      <c r="E111" s="96"/>
      <c r="F111" s="92"/>
      <c r="G111" s="88">
        <v>2</v>
      </c>
      <c r="H111" s="87" t="s">
        <v>239</v>
      </c>
      <c r="I111" s="89"/>
      <c r="J111" s="75"/>
      <c r="K111" s="75"/>
      <c r="L111" s="75"/>
      <c r="M111" s="75"/>
      <c r="N111" s="75"/>
      <c r="O111" s="75">
        <v>1</v>
      </c>
      <c r="P111" s="142"/>
      <c r="Q111" s="75">
        <v>0</v>
      </c>
      <c r="R111" s="75">
        <f>52*0.1</f>
        <v>5.2</v>
      </c>
      <c r="S111" s="75">
        <f>52*0.2</f>
        <v>10.4</v>
      </c>
      <c r="T111" s="75">
        <f>52*0.3</f>
        <v>15.6</v>
      </c>
      <c r="U111" s="75">
        <f>52*0.6</f>
        <v>31.2</v>
      </c>
      <c r="V111" s="75">
        <f>52*1</f>
        <v>52</v>
      </c>
      <c r="W111" s="140"/>
      <c r="X111" s="75">
        <f t="shared" si="28"/>
        <v>0</v>
      </c>
      <c r="Y111" s="75">
        <f t="shared" si="29"/>
        <v>0</v>
      </c>
      <c r="Z111" s="75">
        <f t="shared" si="30"/>
        <v>0</v>
      </c>
      <c r="AA111" s="75">
        <f t="shared" si="31"/>
        <v>0</v>
      </c>
      <c r="AB111" s="75">
        <f t="shared" si="32"/>
        <v>0</v>
      </c>
      <c r="AC111" s="75">
        <f t="shared" si="33"/>
        <v>52</v>
      </c>
      <c r="AD111" s="75">
        <f t="shared" si="34"/>
        <v>52</v>
      </c>
      <c r="AE111" s="300"/>
      <c r="AF111" s="155"/>
      <c r="AG111" s="155"/>
      <c r="AH111" s="155"/>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5"/>
      <c r="BD111" s="155"/>
    </row>
    <row r="112" spans="1:56" s="90" customFormat="1" ht="54" customHeight="1" x14ac:dyDescent="0.25">
      <c r="A112" s="294"/>
      <c r="B112" s="288"/>
      <c r="C112" s="94"/>
      <c r="D112" s="95"/>
      <c r="E112" s="93"/>
      <c r="F112" s="91" t="s">
        <v>240</v>
      </c>
      <c r="G112" s="88">
        <v>3</v>
      </c>
      <c r="H112" s="87" t="s">
        <v>241</v>
      </c>
      <c r="I112" s="89"/>
      <c r="J112" s="75"/>
      <c r="K112" s="75"/>
      <c r="L112" s="75"/>
      <c r="M112" s="75"/>
      <c r="N112" s="75"/>
      <c r="O112" s="75">
        <v>1</v>
      </c>
      <c r="P112" s="143"/>
      <c r="Q112" s="75">
        <v>0</v>
      </c>
      <c r="R112" s="75">
        <f>52*0.1</f>
        <v>5.2</v>
      </c>
      <c r="S112" s="75">
        <f>52*0.2</f>
        <v>10.4</v>
      </c>
      <c r="T112" s="75">
        <f>52*0.3</f>
        <v>15.6</v>
      </c>
      <c r="U112" s="75">
        <f>52*0.6</f>
        <v>31.2</v>
      </c>
      <c r="V112" s="75">
        <f>52*1</f>
        <v>52</v>
      </c>
      <c r="W112" s="140"/>
      <c r="X112" s="75">
        <f t="shared" si="28"/>
        <v>0</v>
      </c>
      <c r="Y112" s="75">
        <f t="shared" si="29"/>
        <v>0</v>
      </c>
      <c r="Z112" s="75">
        <f t="shared" si="30"/>
        <v>0</v>
      </c>
      <c r="AA112" s="75">
        <f t="shared" si="31"/>
        <v>0</v>
      </c>
      <c r="AB112" s="75">
        <f t="shared" si="32"/>
        <v>0</v>
      </c>
      <c r="AC112" s="75">
        <f t="shared" si="33"/>
        <v>52</v>
      </c>
      <c r="AD112" s="75">
        <f t="shared" si="34"/>
        <v>52</v>
      </c>
      <c r="AE112" s="300"/>
      <c r="AF112" s="155"/>
      <c r="AG112" s="155"/>
      <c r="AH112" s="155"/>
      <c r="AI112" s="155"/>
      <c r="AJ112" s="155"/>
      <c r="AK112" s="155"/>
      <c r="AL112" s="155"/>
      <c r="AM112" s="155"/>
      <c r="AN112" s="155"/>
      <c r="AO112" s="155"/>
      <c r="AP112" s="155"/>
      <c r="AQ112" s="155"/>
      <c r="AR112" s="155"/>
      <c r="AS112" s="155"/>
      <c r="AT112" s="155"/>
      <c r="AU112" s="155"/>
      <c r="AV112" s="155"/>
      <c r="AW112" s="155"/>
      <c r="AX112" s="155"/>
      <c r="AY112" s="155"/>
      <c r="AZ112" s="155"/>
      <c r="BA112" s="155"/>
      <c r="BB112" s="155"/>
      <c r="BC112" s="155"/>
      <c r="BD112" s="155"/>
    </row>
    <row r="113" spans="1:56" s="90" customFormat="1" ht="91.5" customHeight="1" x14ac:dyDescent="0.25">
      <c r="A113" s="294"/>
      <c r="B113" s="288"/>
      <c r="C113" s="94"/>
      <c r="D113" s="95"/>
      <c r="E113" s="94"/>
      <c r="F113" s="95"/>
      <c r="G113" s="88">
        <v>4</v>
      </c>
      <c r="H113" s="87" t="s">
        <v>242</v>
      </c>
      <c r="I113" s="89"/>
      <c r="J113" s="75"/>
      <c r="K113" s="75"/>
      <c r="L113" s="75"/>
      <c r="M113" s="75"/>
      <c r="N113" s="75"/>
      <c r="O113" s="75">
        <v>1</v>
      </c>
      <c r="P113" s="142"/>
      <c r="Q113" s="75">
        <v>0</v>
      </c>
      <c r="R113" s="75">
        <f>52*0.1</f>
        <v>5.2</v>
      </c>
      <c r="S113" s="75">
        <f>52*0.2</f>
        <v>10.4</v>
      </c>
      <c r="T113" s="75">
        <f>52*0.3</f>
        <v>15.6</v>
      </c>
      <c r="U113" s="75">
        <f>52*0.6</f>
        <v>31.2</v>
      </c>
      <c r="V113" s="75">
        <f>52*1</f>
        <v>52</v>
      </c>
      <c r="W113" s="140"/>
      <c r="X113" s="75">
        <f t="shared" si="28"/>
        <v>0</v>
      </c>
      <c r="Y113" s="75">
        <f t="shared" si="29"/>
        <v>0</v>
      </c>
      <c r="Z113" s="75">
        <f t="shared" si="30"/>
        <v>0</v>
      </c>
      <c r="AA113" s="75">
        <f t="shared" si="31"/>
        <v>0</v>
      </c>
      <c r="AB113" s="75">
        <f t="shared" si="32"/>
        <v>0</v>
      </c>
      <c r="AC113" s="75">
        <f t="shared" si="33"/>
        <v>52</v>
      </c>
      <c r="AD113" s="75">
        <f t="shared" si="34"/>
        <v>52</v>
      </c>
      <c r="AE113" s="300"/>
      <c r="AF113" s="155"/>
      <c r="AG113" s="155"/>
      <c r="AH113" s="155"/>
      <c r="AI113" s="155"/>
      <c r="AJ113" s="155"/>
      <c r="AK113" s="155"/>
      <c r="AL113" s="155"/>
      <c r="AM113" s="155"/>
      <c r="AN113" s="155"/>
      <c r="AO113" s="155"/>
      <c r="AP113" s="155"/>
      <c r="AQ113" s="155"/>
      <c r="AR113" s="155"/>
      <c r="AS113" s="155"/>
      <c r="AT113" s="155"/>
      <c r="AU113" s="155"/>
      <c r="AV113" s="155"/>
      <c r="AW113" s="155"/>
      <c r="AX113" s="155"/>
      <c r="AY113" s="155"/>
      <c r="AZ113" s="155"/>
      <c r="BA113" s="155"/>
      <c r="BB113" s="155"/>
      <c r="BC113" s="155"/>
      <c r="BD113" s="155"/>
    </row>
    <row r="114" spans="1:56" s="90" customFormat="1" ht="65.25" customHeight="1" x14ac:dyDescent="0.25">
      <c r="A114" s="295"/>
      <c r="B114" s="289"/>
      <c r="C114" s="96"/>
      <c r="D114" s="92"/>
      <c r="E114" s="96"/>
      <c r="F114" s="92"/>
      <c r="G114" s="88">
        <v>5</v>
      </c>
      <c r="H114" s="87" t="s">
        <v>243</v>
      </c>
      <c r="I114" s="89"/>
      <c r="J114" s="75"/>
      <c r="K114" s="75"/>
      <c r="L114" s="75"/>
      <c r="M114" s="75"/>
      <c r="N114" s="75"/>
      <c r="O114" s="75">
        <v>1</v>
      </c>
      <c r="P114" s="143"/>
      <c r="Q114" s="75">
        <v>0</v>
      </c>
      <c r="R114" s="75">
        <f>52*0.1</f>
        <v>5.2</v>
      </c>
      <c r="S114" s="75">
        <f>52*0.2</f>
        <v>10.4</v>
      </c>
      <c r="T114" s="75">
        <f>52*0.3</f>
        <v>15.6</v>
      </c>
      <c r="U114" s="75">
        <f>52*0.6</f>
        <v>31.2</v>
      </c>
      <c r="V114" s="75">
        <f>52*1</f>
        <v>52</v>
      </c>
      <c r="W114" s="140"/>
      <c r="X114" s="75">
        <f t="shared" si="28"/>
        <v>0</v>
      </c>
      <c r="Y114" s="75">
        <f t="shared" si="29"/>
        <v>0</v>
      </c>
      <c r="Z114" s="75">
        <f t="shared" si="30"/>
        <v>0</v>
      </c>
      <c r="AA114" s="75">
        <f t="shared" si="31"/>
        <v>0</v>
      </c>
      <c r="AB114" s="75">
        <f t="shared" si="32"/>
        <v>0</v>
      </c>
      <c r="AC114" s="75">
        <f t="shared" si="33"/>
        <v>52</v>
      </c>
      <c r="AD114" s="75">
        <f t="shared" si="34"/>
        <v>52</v>
      </c>
      <c r="AE114" s="301"/>
      <c r="AF114" s="155"/>
      <c r="AG114" s="155"/>
      <c r="AH114" s="155"/>
      <c r="AI114" s="155"/>
      <c r="AJ114" s="155"/>
      <c r="AK114" s="155"/>
      <c r="AL114" s="155"/>
      <c r="AM114" s="155"/>
      <c r="AN114" s="155"/>
      <c r="AO114" s="155"/>
      <c r="AP114" s="155"/>
      <c r="AQ114" s="155"/>
      <c r="AR114" s="155"/>
      <c r="AS114" s="155"/>
      <c r="AT114" s="155"/>
      <c r="AU114" s="155"/>
      <c r="AV114" s="155"/>
      <c r="AW114" s="155"/>
      <c r="AX114" s="155"/>
      <c r="AY114" s="155"/>
      <c r="AZ114" s="155"/>
      <c r="BA114" s="155"/>
      <c r="BB114" s="155"/>
      <c r="BC114" s="155"/>
      <c r="BD114" s="155"/>
    </row>
    <row r="115" spans="1:56" s="90" customFormat="1" ht="105" customHeight="1" x14ac:dyDescent="0.25">
      <c r="A115" s="293">
        <v>9</v>
      </c>
      <c r="B115" s="287" t="s">
        <v>50</v>
      </c>
      <c r="C115" s="93"/>
      <c r="D115" s="91" t="s">
        <v>244</v>
      </c>
      <c r="E115" s="93"/>
      <c r="F115" s="91" t="s">
        <v>245</v>
      </c>
      <c r="G115" s="88">
        <v>1</v>
      </c>
      <c r="H115" s="87" t="s">
        <v>246</v>
      </c>
      <c r="I115" s="89" t="s">
        <v>289</v>
      </c>
      <c r="J115" s="75"/>
      <c r="K115" s="75"/>
      <c r="L115" s="75"/>
      <c r="M115" s="75"/>
      <c r="N115" s="75"/>
      <c r="O115" s="75">
        <v>1</v>
      </c>
      <c r="P115" s="142"/>
      <c r="Q115" s="75">
        <v>0</v>
      </c>
      <c r="R115" s="75">
        <f>30*0.1</f>
        <v>3</v>
      </c>
      <c r="S115" s="75">
        <f>30*0.2</f>
        <v>6</v>
      </c>
      <c r="T115" s="75">
        <f>30*0.3</f>
        <v>9</v>
      </c>
      <c r="U115" s="75">
        <f>30*0.6</f>
        <v>18</v>
      </c>
      <c r="V115" s="75">
        <f>30*1</f>
        <v>30</v>
      </c>
      <c r="W115" s="140"/>
      <c r="X115" s="75">
        <f t="shared" si="28"/>
        <v>0</v>
      </c>
      <c r="Y115" s="75">
        <f t="shared" si="29"/>
        <v>0</v>
      </c>
      <c r="Z115" s="75">
        <f t="shared" si="30"/>
        <v>0</v>
      </c>
      <c r="AA115" s="75">
        <f t="shared" si="31"/>
        <v>0</v>
      </c>
      <c r="AB115" s="75">
        <f t="shared" si="32"/>
        <v>0</v>
      </c>
      <c r="AC115" s="75">
        <f t="shared" si="33"/>
        <v>30</v>
      </c>
      <c r="AD115" s="75">
        <f t="shared" si="34"/>
        <v>30</v>
      </c>
      <c r="AE115" s="299">
        <f>+SUM(AD115:AD117)</f>
        <v>100</v>
      </c>
      <c r="AF115" s="155"/>
      <c r="AG115" s="155"/>
      <c r="AH115" s="155"/>
      <c r="AI115" s="155"/>
      <c r="AJ115" s="155"/>
      <c r="AK115" s="155"/>
      <c r="AL115" s="155"/>
      <c r="AM115" s="155"/>
      <c r="AN115" s="155"/>
      <c r="AO115" s="155"/>
      <c r="AP115" s="155"/>
      <c r="AQ115" s="155"/>
      <c r="AR115" s="155"/>
      <c r="AS115" s="155"/>
      <c r="AT115" s="155"/>
      <c r="AU115" s="155"/>
      <c r="AV115" s="155"/>
      <c r="AW115" s="155"/>
      <c r="AX115" s="155"/>
      <c r="AY115" s="155"/>
      <c r="AZ115" s="155"/>
      <c r="BA115" s="155"/>
      <c r="BB115" s="155"/>
      <c r="BC115" s="155"/>
      <c r="BD115" s="155"/>
    </row>
    <row r="116" spans="1:56" s="90" customFormat="1" ht="86.25" customHeight="1" x14ac:dyDescent="0.25">
      <c r="A116" s="294"/>
      <c r="B116" s="288"/>
      <c r="C116" s="96"/>
      <c r="D116" s="92"/>
      <c r="E116" s="96"/>
      <c r="F116" s="92"/>
      <c r="G116" s="88">
        <v>2</v>
      </c>
      <c r="H116" s="87" t="s">
        <v>247</v>
      </c>
      <c r="I116" s="89"/>
      <c r="J116" s="75"/>
      <c r="K116" s="75"/>
      <c r="L116" s="75"/>
      <c r="M116" s="75"/>
      <c r="N116" s="75"/>
      <c r="O116" s="75">
        <v>1</v>
      </c>
      <c r="P116" s="143"/>
      <c r="Q116" s="75">
        <v>0</v>
      </c>
      <c r="R116" s="75">
        <f>35*0.1</f>
        <v>3.5</v>
      </c>
      <c r="S116" s="75">
        <f>35*0.2</f>
        <v>7</v>
      </c>
      <c r="T116" s="75">
        <f>35*0.3</f>
        <v>10.5</v>
      </c>
      <c r="U116" s="75">
        <f>35*0.6</f>
        <v>21</v>
      </c>
      <c r="V116" s="75">
        <f>35*1</f>
        <v>35</v>
      </c>
      <c r="W116" s="140"/>
      <c r="X116" s="75">
        <f t="shared" si="28"/>
        <v>0</v>
      </c>
      <c r="Y116" s="75">
        <f t="shared" si="29"/>
        <v>0</v>
      </c>
      <c r="Z116" s="75">
        <f t="shared" si="30"/>
        <v>0</v>
      </c>
      <c r="AA116" s="75">
        <f t="shared" si="31"/>
        <v>0</v>
      </c>
      <c r="AB116" s="75">
        <f t="shared" si="32"/>
        <v>0</v>
      </c>
      <c r="AC116" s="75">
        <f t="shared" si="33"/>
        <v>35</v>
      </c>
      <c r="AD116" s="75">
        <f t="shared" si="34"/>
        <v>35</v>
      </c>
      <c r="AE116" s="300"/>
      <c r="AF116" s="155"/>
      <c r="AG116" s="155"/>
      <c r="AH116" s="155"/>
      <c r="AI116" s="155"/>
      <c r="AJ116" s="155"/>
      <c r="AK116" s="155"/>
      <c r="AL116" s="155"/>
      <c r="AM116" s="155"/>
      <c r="AN116" s="155"/>
      <c r="AO116" s="155"/>
      <c r="AP116" s="155"/>
      <c r="AQ116" s="155"/>
      <c r="AR116" s="155"/>
      <c r="AS116" s="155"/>
      <c r="AT116" s="155"/>
      <c r="AU116" s="155"/>
      <c r="AV116" s="155"/>
      <c r="AW116" s="155"/>
      <c r="AX116" s="155"/>
      <c r="AY116" s="155"/>
      <c r="AZ116" s="155"/>
      <c r="BA116" s="155"/>
      <c r="BB116" s="155"/>
      <c r="BC116" s="155"/>
      <c r="BD116" s="155"/>
    </row>
    <row r="117" spans="1:56" s="90" customFormat="1" ht="86.25" customHeight="1" x14ac:dyDescent="0.25">
      <c r="A117" s="295"/>
      <c r="B117" s="289"/>
      <c r="C117" s="94"/>
      <c r="D117" s="95" t="s">
        <v>371</v>
      </c>
      <c r="E117" s="94"/>
      <c r="F117" s="95" t="s">
        <v>392</v>
      </c>
      <c r="G117" s="88">
        <v>3</v>
      </c>
      <c r="H117" s="87" t="s">
        <v>393</v>
      </c>
      <c r="I117" s="89"/>
      <c r="J117" s="75"/>
      <c r="K117" s="75"/>
      <c r="L117" s="75"/>
      <c r="M117" s="75"/>
      <c r="N117" s="75"/>
      <c r="O117" s="75">
        <v>1</v>
      </c>
      <c r="P117" s="144"/>
      <c r="Q117" s="75">
        <v>0</v>
      </c>
      <c r="R117" s="75">
        <f>35*0.1</f>
        <v>3.5</v>
      </c>
      <c r="S117" s="75">
        <f>35*0.2</f>
        <v>7</v>
      </c>
      <c r="T117" s="75">
        <f>35*0.3</f>
        <v>10.5</v>
      </c>
      <c r="U117" s="75">
        <f>35*0.6</f>
        <v>21</v>
      </c>
      <c r="V117" s="75">
        <f>35*1</f>
        <v>35</v>
      </c>
      <c r="W117" s="140"/>
      <c r="X117" s="75">
        <f t="shared" si="28"/>
        <v>0</v>
      </c>
      <c r="Y117" s="75">
        <f t="shared" si="29"/>
        <v>0</v>
      </c>
      <c r="Z117" s="75">
        <f t="shared" si="30"/>
        <v>0</v>
      </c>
      <c r="AA117" s="75">
        <f t="shared" si="31"/>
        <v>0</v>
      </c>
      <c r="AB117" s="75">
        <f t="shared" si="32"/>
        <v>0</v>
      </c>
      <c r="AC117" s="75">
        <f t="shared" si="33"/>
        <v>35</v>
      </c>
      <c r="AD117" s="75">
        <f t="shared" si="34"/>
        <v>35</v>
      </c>
      <c r="AE117" s="301"/>
      <c r="AF117" s="155"/>
      <c r="AG117" s="155"/>
      <c r="AH117" s="155"/>
      <c r="AI117" s="155"/>
      <c r="AJ117" s="155"/>
      <c r="AK117" s="155"/>
      <c r="AL117" s="155"/>
      <c r="AM117" s="155"/>
      <c r="AN117" s="155"/>
      <c r="AO117" s="155"/>
      <c r="AP117" s="155"/>
      <c r="AQ117" s="155"/>
      <c r="AR117" s="155"/>
      <c r="AS117" s="155"/>
      <c r="AT117" s="155"/>
      <c r="AU117" s="155"/>
      <c r="AV117" s="155"/>
      <c r="AW117" s="155"/>
      <c r="AX117" s="155"/>
      <c r="AY117" s="155"/>
      <c r="AZ117" s="155"/>
      <c r="BA117" s="155"/>
      <c r="BB117" s="155"/>
      <c r="BC117" s="155"/>
      <c r="BD117" s="155"/>
    </row>
    <row r="118" spans="1:56" s="90" customFormat="1" ht="135.75" customHeight="1" x14ac:dyDescent="0.25">
      <c r="A118" s="293">
        <v>10</v>
      </c>
      <c r="B118" s="287" t="s">
        <v>51</v>
      </c>
      <c r="C118" s="93"/>
      <c r="D118" s="91" t="s">
        <v>248</v>
      </c>
      <c r="E118" s="93"/>
      <c r="F118" s="91" t="s">
        <v>249</v>
      </c>
      <c r="G118" s="88">
        <v>1</v>
      </c>
      <c r="H118" s="87" t="s">
        <v>250</v>
      </c>
      <c r="I118" s="89" t="s">
        <v>291</v>
      </c>
      <c r="J118" s="75"/>
      <c r="K118" s="75"/>
      <c r="L118" s="75"/>
      <c r="M118" s="75"/>
      <c r="N118" s="75"/>
      <c r="O118" s="75">
        <v>1</v>
      </c>
      <c r="P118" s="142"/>
      <c r="Q118" s="75">
        <v>0</v>
      </c>
      <c r="R118" s="75">
        <f>10*0.1</f>
        <v>1</v>
      </c>
      <c r="S118" s="75">
        <f>10*0.2</f>
        <v>2</v>
      </c>
      <c r="T118" s="75">
        <f>10*0.3</f>
        <v>3</v>
      </c>
      <c r="U118" s="75">
        <f>10*0.6</f>
        <v>6</v>
      </c>
      <c r="V118" s="75">
        <f>10*1</f>
        <v>10</v>
      </c>
      <c r="W118" s="140"/>
      <c r="X118" s="75">
        <f t="shared" si="28"/>
        <v>0</v>
      </c>
      <c r="Y118" s="75">
        <f t="shared" si="29"/>
        <v>0</v>
      </c>
      <c r="Z118" s="75">
        <f t="shared" si="30"/>
        <v>0</v>
      </c>
      <c r="AA118" s="75">
        <f t="shared" si="31"/>
        <v>0</v>
      </c>
      <c r="AB118" s="75">
        <f t="shared" si="32"/>
        <v>0</v>
      </c>
      <c r="AC118" s="75">
        <f t="shared" si="33"/>
        <v>10</v>
      </c>
      <c r="AD118" s="75">
        <f t="shared" si="34"/>
        <v>10</v>
      </c>
      <c r="AE118" s="299">
        <f>+SUM(AD118:AD133)</f>
        <v>160</v>
      </c>
      <c r="AF118" s="155"/>
      <c r="AG118" s="155"/>
      <c r="AH118" s="155"/>
      <c r="AI118" s="155"/>
      <c r="AJ118" s="155"/>
      <c r="AK118" s="155"/>
      <c r="AL118" s="155"/>
      <c r="AM118" s="155"/>
      <c r="AN118" s="155"/>
      <c r="AO118" s="155"/>
      <c r="AP118" s="155"/>
      <c r="AQ118" s="155"/>
      <c r="AR118" s="155"/>
      <c r="AS118" s="155"/>
      <c r="AT118" s="155"/>
      <c r="AU118" s="155"/>
      <c r="AV118" s="155"/>
      <c r="AW118" s="155"/>
      <c r="AX118" s="155"/>
      <c r="AY118" s="155"/>
      <c r="AZ118" s="155"/>
      <c r="BA118" s="155"/>
      <c r="BB118" s="155"/>
      <c r="BC118" s="155"/>
      <c r="BD118" s="155"/>
    </row>
    <row r="119" spans="1:56" s="90" customFormat="1" ht="116.25" customHeight="1" x14ac:dyDescent="0.25">
      <c r="A119" s="294"/>
      <c r="B119" s="288"/>
      <c r="C119" s="94"/>
      <c r="D119" s="95"/>
      <c r="E119" s="94"/>
      <c r="F119" s="95"/>
      <c r="G119" s="88">
        <v>2</v>
      </c>
      <c r="H119" s="87" t="s">
        <v>251</v>
      </c>
      <c r="I119" s="89"/>
      <c r="J119" s="75"/>
      <c r="K119" s="75"/>
      <c r="L119" s="75"/>
      <c r="M119" s="75"/>
      <c r="N119" s="75"/>
      <c r="O119" s="75">
        <v>1</v>
      </c>
      <c r="P119" s="143"/>
      <c r="Q119" s="75">
        <v>0</v>
      </c>
      <c r="R119" s="75">
        <f t="shared" ref="R119:R133" si="50">10*0.1</f>
        <v>1</v>
      </c>
      <c r="S119" s="75">
        <f t="shared" ref="S119:S133" si="51">10*0.2</f>
        <v>2</v>
      </c>
      <c r="T119" s="75">
        <f t="shared" ref="T119:T133" si="52">10*0.3</f>
        <v>3</v>
      </c>
      <c r="U119" s="75">
        <f t="shared" ref="U119:U133" si="53">10*0.6</f>
        <v>6</v>
      </c>
      <c r="V119" s="75">
        <f t="shared" ref="V119:V133" si="54">10*1</f>
        <v>10</v>
      </c>
      <c r="W119" s="140"/>
      <c r="X119" s="75">
        <f t="shared" si="28"/>
        <v>0</v>
      </c>
      <c r="Y119" s="75">
        <f t="shared" si="29"/>
        <v>0</v>
      </c>
      <c r="Z119" s="75">
        <f t="shared" si="30"/>
        <v>0</v>
      </c>
      <c r="AA119" s="75">
        <f t="shared" si="31"/>
        <v>0</v>
      </c>
      <c r="AB119" s="75">
        <f t="shared" si="32"/>
        <v>0</v>
      </c>
      <c r="AC119" s="75">
        <f t="shared" si="33"/>
        <v>10</v>
      </c>
      <c r="AD119" s="75">
        <f t="shared" si="34"/>
        <v>10</v>
      </c>
      <c r="AE119" s="300"/>
      <c r="AF119" s="155"/>
      <c r="AG119" s="155"/>
      <c r="AH119" s="155"/>
      <c r="AI119" s="155"/>
      <c r="AJ119" s="155"/>
      <c r="AK119" s="155"/>
      <c r="AL119" s="155"/>
      <c r="AM119" s="155"/>
      <c r="AN119" s="155"/>
      <c r="AO119" s="155"/>
      <c r="AP119" s="155"/>
      <c r="AQ119" s="155"/>
      <c r="AR119" s="155"/>
      <c r="AS119" s="155"/>
      <c r="AT119" s="155"/>
      <c r="AU119" s="155"/>
      <c r="AV119" s="155"/>
      <c r="AW119" s="155"/>
      <c r="AX119" s="155"/>
      <c r="AY119" s="155"/>
      <c r="AZ119" s="155"/>
      <c r="BA119" s="155"/>
      <c r="BB119" s="155"/>
      <c r="BC119" s="155"/>
      <c r="BD119" s="155"/>
    </row>
    <row r="120" spans="1:56" s="90" customFormat="1" ht="84" customHeight="1" x14ac:dyDescent="0.25">
      <c r="A120" s="294"/>
      <c r="B120" s="288"/>
      <c r="C120" s="94"/>
      <c r="D120" s="95"/>
      <c r="E120" s="94"/>
      <c r="F120" s="95"/>
      <c r="G120" s="88">
        <v>3</v>
      </c>
      <c r="H120" s="87" t="s">
        <v>252</v>
      </c>
      <c r="I120" s="89"/>
      <c r="J120" s="75"/>
      <c r="K120" s="75"/>
      <c r="L120" s="75"/>
      <c r="M120" s="75"/>
      <c r="N120" s="75"/>
      <c r="O120" s="75">
        <v>1</v>
      </c>
      <c r="P120" s="142"/>
      <c r="Q120" s="75">
        <v>0</v>
      </c>
      <c r="R120" s="75">
        <f t="shared" si="50"/>
        <v>1</v>
      </c>
      <c r="S120" s="75">
        <f t="shared" si="51"/>
        <v>2</v>
      </c>
      <c r="T120" s="75">
        <f t="shared" si="52"/>
        <v>3</v>
      </c>
      <c r="U120" s="75">
        <f t="shared" si="53"/>
        <v>6</v>
      </c>
      <c r="V120" s="75">
        <f t="shared" si="54"/>
        <v>10</v>
      </c>
      <c r="W120" s="140"/>
      <c r="X120" s="75">
        <f t="shared" si="28"/>
        <v>0</v>
      </c>
      <c r="Y120" s="75">
        <f t="shared" si="29"/>
        <v>0</v>
      </c>
      <c r="Z120" s="75">
        <f t="shared" si="30"/>
        <v>0</v>
      </c>
      <c r="AA120" s="75">
        <f t="shared" si="31"/>
        <v>0</v>
      </c>
      <c r="AB120" s="75">
        <f t="shared" si="32"/>
        <v>0</v>
      </c>
      <c r="AC120" s="75">
        <f t="shared" si="33"/>
        <v>10</v>
      </c>
      <c r="AD120" s="75">
        <f t="shared" si="34"/>
        <v>10</v>
      </c>
      <c r="AE120" s="300"/>
      <c r="AF120" s="155"/>
      <c r="AG120" s="155"/>
      <c r="AH120" s="155"/>
      <c r="AI120" s="155"/>
      <c r="AJ120" s="155"/>
      <c r="AK120" s="155"/>
      <c r="AL120" s="155"/>
      <c r="AM120" s="155"/>
      <c r="AN120" s="155"/>
      <c r="AO120" s="155"/>
      <c r="AP120" s="155"/>
      <c r="AQ120" s="155"/>
      <c r="AR120" s="155"/>
      <c r="AS120" s="155"/>
      <c r="AT120" s="155"/>
      <c r="AU120" s="155"/>
      <c r="AV120" s="155"/>
      <c r="AW120" s="155"/>
      <c r="AX120" s="155"/>
      <c r="AY120" s="155"/>
      <c r="AZ120" s="155"/>
      <c r="BA120" s="155"/>
      <c r="BB120" s="155"/>
      <c r="BC120" s="155"/>
      <c r="BD120" s="155"/>
    </row>
    <row r="121" spans="1:56" s="90" customFormat="1" ht="129.75" customHeight="1" x14ac:dyDescent="0.25">
      <c r="A121" s="294"/>
      <c r="B121" s="288"/>
      <c r="C121" s="94"/>
      <c r="D121" s="95"/>
      <c r="E121" s="94"/>
      <c r="F121" s="95"/>
      <c r="G121" s="88">
        <v>4</v>
      </c>
      <c r="H121" s="87" t="s">
        <v>253</v>
      </c>
      <c r="I121" s="89"/>
      <c r="J121" s="75"/>
      <c r="K121" s="75"/>
      <c r="L121" s="75"/>
      <c r="M121" s="75"/>
      <c r="N121" s="75"/>
      <c r="O121" s="75">
        <v>1</v>
      </c>
      <c r="P121" s="143"/>
      <c r="Q121" s="75">
        <v>0</v>
      </c>
      <c r="R121" s="75">
        <f t="shared" si="50"/>
        <v>1</v>
      </c>
      <c r="S121" s="75">
        <f t="shared" si="51"/>
        <v>2</v>
      </c>
      <c r="T121" s="75">
        <f t="shared" si="52"/>
        <v>3</v>
      </c>
      <c r="U121" s="75">
        <f t="shared" si="53"/>
        <v>6</v>
      </c>
      <c r="V121" s="75">
        <f t="shared" si="54"/>
        <v>10</v>
      </c>
      <c r="W121" s="140"/>
      <c r="X121" s="75">
        <f t="shared" si="28"/>
        <v>0</v>
      </c>
      <c r="Y121" s="75">
        <f t="shared" si="29"/>
        <v>0</v>
      </c>
      <c r="Z121" s="75">
        <f t="shared" si="30"/>
        <v>0</v>
      </c>
      <c r="AA121" s="75">
        <f t="shared" si="31"/>
        <v>0</v>
      </c>
      <c r="AB121" s="75">
        <f t="shared" si="32"/>
        <v>0</v>
      </c>
      <c r="AC121" s="75">
        <f t="shared" si="33"/>
        <v>10</v>
      </c>
      <c r="AD121" s="75">
        <f t="shared" si="34"/>
        <v>10</v>
      </c>
      <c r="AE121" s="300"/>
      <c r="AF121" s="155"/>
      <c r="AG121" s="155"/>
      <c r="AH121" s="155"/>
      <c r="AI121" s="155"/>
      <c r="AJ121" s="155"/>
      <c r="AK121" s="155"/>
      <c r="AL121" s="155"/>
      <c r="AM121" s="155"/>
      <c r="AN121" s="155"/>
      <c r="AO121" s="155"/>
      <c r="AP121" s="155"/>
      <c r="AQ121" s="155"/>
      <c r="AR121" s="155"/>
      <c r="AS121" s="155"/>
      <c r="AT121" s="155"/>
      <c r="AU121" s="155"/>
      <c r="AV121" s="155"/>
      <c r="AW121" s="155"/>
      <c r="AX121" s="155"/>
      <c r="AY121" s="155"/>
      <c r="AZ121" s="155"/>
      <c r="BA121" s="155"/>
      <c r="BB121" s="155"/>
      <c r="BC121" s="155"/>
      <c r="BD121" s="155"/>
    </row>
    <row r="122" spans="1:56" s="90" customFormat="1" ht="126" customHeight="1" x14ac:dyDescent="0.25">
      <c r="A122" s="294"/>
      <c r="B122" s="288"/>
      <c r="C122" s="94"/>
      <c r="D122" s="95"/>
      <c r="E122" s="94"/>
      <c r="F122" s="95"/>
      <c r="G122" s="88">
        <v>5</v>
      </c>
      <c r="H122" s="87" t="s">
        <v>254</v>
      </c>
      <c r="I122" s="89"/>
      <c r="J122" s="75"/>
      <c r="K122" s="75"/>
      <c r="L122" s="75"/>
      <c r="M122" s="75"/>
      <c r="N122" s="75"/>
      <c r="O122" s="75">
        <v>1</v>
      </c>
      <c r="P122" s="142"/>
      <c r="Q122" s="75">
        <v>0</v>
      </c>
      <c r="R122" s="75">
        <f t="shared" si="50"/>
        <v>1</v>
      </c>
      <c r="S122" s="75">
        <f t="shared" si="51"/>
        <v>2</v>
      </c>
      <c r="T122" s="75">
        <f t="shared" si="52"/>
        <v>3</v>
      </c>
      <c r="U122" s="75">
        <f t="shared" si="53"/>
        <v>6</v>
      </c>
      <c r="V122" s="75">
        <f t="shared" si="54"/>
        <v>10</v>
      </c>
      <c r="W122" s="140"/>
      <c r="X122" s="75">
        <f t="shared" si="28"/>
        <v>0</v>
      </c>
      <c r="Y122" s="75">
        <f t="shared" si="29"/>
        <v>0</v>
      </c>
      <c r="Z122" s="75">
        <f t="shared" si="30"/>
        <v>0</v>
      </c>
      <c r="AA122" s="75">
        <f t="shared" si="31"/>
        <v>0</v>
      </c>
      <c r="AB122" s="75">
        <f t="shared" si="32"/>
        <v>0</v>
      </c>
      <c r="AC122" s="75">
        <f t="shared" si="33"/>
        <v>10</v>
      </c>
      <c r="AD122" s="75">
        <f t="shared" si="34"/>
        <v>10</v>
      </c>
      <c r="AE122" s="300"/>
      <c r="AF122" s="155"/>
      <c r="AG122" s="155"/>
      <c r="AH122" s="155"/>
      <c r="AI122" s="155"/>
      <c r="AJ122" s="155"/>
      <c r="AK122" s="155"/>
      <c r="AL122" s="155"/>
      <c r="AM122" s="155"/>
      <c r="AN122" s="155"/>
      <c r="AO122" s="155"/>
      <c r="AP122" s="155"/>
      <c r="AQ122" s="155"/>
      <c r="AR122" s="155"/>
      <c r="AS122" s="155"/>
      <c r="AT122" s="155"/>
      <c r="AU122" s="155"/>
      <c r="AV122" s="155"/>
      <c r="AW122" s="155"/>
      <c r="AX122" s="155"/>
      <c r="AY122" s="155"/>
      <c r="AZ122" s="155"/>
      <c r="BA122" s="155"/>
      <c r="BB122" s="155"/>
      <c r="BC122" s="155"/>
      <c r="BD122" s="155"/>
    </row>
    <row r="123" spans="1:56" s="90" customFormat="1" ht="57" customHeight="1" x14ac:dyDescent="0.25">
      <c r="A123" s="294"/>
      <c r="B123" s="288"/>
      <c r="C123" s="94"/>
      <c r="D123" s="95"/>
      <c r="E123" s="94"/>
      <c r="F123" s="95"/>
      <c r="G123" s="88">
        <v>6</v>
      </c>
      <c r="H123" s="87" t="s">
        <v>255</v>
      </c>
      <c r="I123" s="89"/>
      <c r="J123" s="75"/>
      <c r="K123" s="75"/>
      <c r="L123" s="75"/>
      <c r="M123" s="75"/>
      <c r="N123" s="75"/>
      <c r="O123" s="75">
        <v>1</v>
      </c>
      <c r="P123" s="143"/>
      <c r="Q123" s="75">
        <v>0</v>
      </c>
      <c r="R123" s="75">
        <f t="shared" si="50"/>
        <v>1</v>
      </c>
      <c r="S123" s="75">
        <f t="shared" si="51"/>
        <v>2</v>
      </c>
      <c r="T123" s="75">
        <f t="shared" si="52"/>
        <v>3</v>
      </c>
      <c r="U123" s="75">
        <f t="shared" si="53"/>
        <v>6</v>
      </c>
      <c r="V123" s="75">
        <f t="shared" si="54"/>
        <v>10</v>
      </c>
      <c r="W123" s="140"/>
      <c r="X123" s="75">
        <f t="shared" si="28"/>
        <v>0</v>
      </c>
      <c r="Y123" s="75">
        <f t="shared" si="29"/>
        <v>0</v>
      </c>
      <c r="Z123" s="75">
        <f t="shared" si="30"/>
        <v>0</v>
      </c>
      <c r="AA123" s="75">
        <f t="shared" si="31"/>
        <v>0</v>
      </c>
      <c r="AB123" s="75">
        <f t="shared" si="32"/>
        <v>0</v>
      </c>
      <c r="AC123" s="75">
        <f t="shared" si="33"/>
        <v>10</v>
      </c>
      <c r="AD123" s="75">
        <f t="shared" si="34"/>
        <v>10</v>
      </c>
      <c r="AE123" s="300"/>
      <c r="AF123" s="155"/>
      <c r="AG123" s="155"/>
      <c r="AH123" s="155"/>
      <c r="AI123" s="155"/>
      <c r="AJ123" s="155"/>
      <c r="AK123" s="155"/>
      <c r="AL123" s="155"/>
      <c r="AM123" s="155"/>
      <c r="AN123" s="155"/>
      <c r="AO123" s="155"/>
      <c r="AP123" s="155"/>
      <c r="AQ123" s="155"/>
      <c r="AR123" s="155"/>
      <c r="AS123" s="155"/>
      <c r="AT123" s="155"/>
      <c r="AU123" s="155"/>
      <c r="AV123" s="155"/>
      <c r="AW123" s="155"/>
      <c r="AX123" s="155"/>
      <c r="AY123" s="155"/>
      <c r="AZ123" s="155"/>
      <c r="BA123" s="155"/>
      <c r="BB123" s="155"/>
      <c r="BC123" s="155"/>
      <c r="BD123" s="155"/>
    </row>
    <row r="124" spans="1:56" s="90" customFormat="1" ht="58.5" customHeight="1" x14ac:dyDescent="0.25">
      <c r="A124" s="294"/>
      <c r="B124" s="288"/>
      <c r="C124" s="94"/>
      <c r="D124" s="95"/>
      <c r="E124" s="94"/>
      <c r="F124" s="95"/>
      <c r="G124" s="88">
        <v>7</v>
      </c>
      <c r="H124" s="87" t="s">
        <v>256</v>
      </c>
      <c r="I124" s="89"/>
      <c r="J124" s="75"/>
      <c r="K124" s="75"/>
      <c r="L124" s="75"/>
      <c r="M124" s="75"/>
      <c r="N124" s="75"/>
      <c r="O124" s="75">
        <v>1</v>
      </c>
      <c r="P124" s="142"/>
      <c r="Q124" s="75">
        <v>0</v>
      </c>
      <c r="R124" s="75">
        <f t="shared" si="50"/>
        <v>1</v>
      </c>
      <c r="S124" s="75">
        <f t="shared" si="51"/>
        <v>2</v>
      </c>
      <c r="T124" s="75">
        <f t="shared" si="52"/>
        <v>3</v>
      </c>
      <c r="U124" s="75">
        <f t="shared" si="53"/>
        <v>6</v>
      </c>
      <c r="V124" s="75">
        <f t="shared" si="54"/>
        <v>10</v>
      </c>
      <c r="W124" s="140"/>
      <c r="X124" s="75">
        <f t="shared" si="28"/>
        <v>0</v>
      </c>
      <c r="Y124" s="75">
        <f t="shared" si="29"/>
        <v>0</v>
      </c>
      <c r="Z124" s="75">
        <f t="shared" si="30"/>
        <v>0</v>
      </c>
      <c r="AA124" s="75">
        <f t="shared" si="31"/>
        <v>0</v>
      </c>
      <c r="AB124" s="75">
        <f t="shared" si="32"/>
        <v>0</v>
      </c>
      <c r="AC124" s="75">
        <f t="shared" si="33"/>
        <v>10</v>
      </c>
      <c r="AD124" s="75">
        <f t="shared" si="34"/>
        <v>10</v>
      </c>
      <c r="AE124" s="300"/>
      <c r="AF124" s="155"/>
      <c r="AG124" s="155"/>
      <c r="AH124" s="155"/>
      <c r="AI124" s="155"/>
      <c r="AJ124" s="155"/>
      <c r="AK124" s="155"/>
      <c r="AL124" s="155"/>
      <c r="AM124" s="155"/>
      <c r="AN124" s="155"/>
      <c r="AO124" s="155"/>
      <c r="AP124" s="155"/>
      <c r="AQ124" s="155"/>
      <c r="AR124" s="155"/>
      <c r="AS124" s="155"/>
      <c r="AT124" s="155"/>
      <c r="AU124" s="155"/>
      <c r="AV124" s="155"/>
      <c r="AW124" s="155"/>
      <c r="AX124" s="155"/>
      <c r="AY124" s="155"/>
      <c r="AZ124" s="155"/>
      <c r="BA124" s="155"/>
      <c r="BB124" s="155"/>
      <c r="BC124" s="155"/>
      <c r="BD124" s="155"/>
    </row>
    <row r="125" spans="1:56" s="90" customFormat="1" ht="54" customHeight="1" x14ac:dyDescent="0.25">
      <c r="A125" s="294"/>
      <c r="B125" s="288"/>
      <c r="C125" s="94"/>
      <c r="D125" s="95"/>
      <c r="E125" s="94"/>
      <c r="F125" s="95"/>
      <c r="G125" s="88">
        <v>8</v>
      </c>
      <c r="H125" s="87" t="s">
        <v>257</v>
      </c>
      <c r="I125" s="89"/>
      <c r="J125" s="75"/>
      <c r="K125" s="75"/>
      <c r="L125" s="75"/>
      <c r="M125" s="75"/>
      <c r="N125" s="75"/>
      <c r="O125" s="75">
        <v>1</v>
      </c>
      <c r="P125" s="143"/>
      <c r="Q125" s="75">
        <v>0</v>
      </c>
      <c r="R125" s="75">
        <f t="shared" si="50"/>
        <v>1</v>
      </c>
      <c r="S125" s="75">
        <f t="shared" si="51"/>
        <v>2</v>
      </c>
      <c r="T125" s="75">
        <f t="shared" si="52"/>
        <v>3</v>
      </c>
      <c r="U125" s="75">
        <f t="shared" si="53"/>
        <v>6</v>
      </c>
      <c r="V125" s="75">
        <f t="shared" si="54"/>
        <v>10</v>
      </c>
      <c r="W125" s="140"/>
      <c r="X125" s="75">
        <f t="shared" si="28"/>
        <v>0</v>
      </c>
      <c r="Y125" s="75">
        <f t="shared" si="29"/>
        <v>0</v>
      </c>
      <c r="Z125" s="75">
        <f t="shared" si="30"/>
        <v>0</v>
      </c>
      <c r="AA125" s="75">
        <f t="shared" si="31"/>
        <v>0</v>
      </c>
      <c r="AB125" s="75">
        <f t="shared" si="32"/>
        <v>0</v>
      </c>
      <c r="AC125" s="75">
        <f t="shared" si="33"/>
        <v>10</v>
      </c>
      <c r="AD125" s="75">
        <f t="shared" si="34"/>
        <v>10</v>
      </c>
      <c r="AE125" s="300"/>
      <c r="AF125" s="155"/>
      <c r="AG125" s="155"/>
      <c r="AH125" s="155"/>
      <c r="AI125" s="155"/>
      <c r="AJ125" s="155"/>
      <c r="AK125" s="155"/>
      <c r="AL125" s="155"/>
      <c r="AM125" s="155"/>
      <c r="AN125" s="155"/>
      <c r="AO125" s="155"/>
      <c r="AP125" s="155"/>
      <c r="AQ125" s="155"/>
      <c r="AR125" s="155"/>
      <c r="AS125" s="155"/>
      <c r="AT125" s="155"/>
      <c r="AU125" s="155"/>
      <c r="AV125" s="155"/>
      <c r="AW125" s="155"/>
      <c r="AX125" s="155"/>
      <c r="AY125" s="155"/>
      <c r="AZ125" s="155"/>
      <c r="BA125" s="155"/>
      <c r="BB125" s="155"/>
      <c r="BC125" s="155"/>
      <c r="BD125" s="155"/>
    </row>
    <row r="126" spans="1:56" s="90" customFormat="1" ht="111" customHeight="1" x14ac:dyDescent="0.25">
      <c r="A126" s="294"/>
      <c r="B126" s="288"/>
      <c r="C126" s="96"/>
      <c r="D126" s="92"/>
      <c r="E126" s="96"/>
      <c r="F126" s="92"/>
      <c r="G126" s="88">
        <v>9</v>
      </c>
      <c r="H126" s="87" t="s">
        <v>258</v>
      </c>
      <c r="I126" s="89"/>
      <c r="J126" s="75"/>
      <c r="K126" s="75"/>
      <c r="L126" s="75"/>
      <c r="M126" s="75"/>
      <c r="N126" s="75"/>
      <c r="O126" s="75">
        <v>1</v>
      </c>
      <c r="P126" s="142"/>
      <c r="Q126" s="75">
        <v>0</v>
      </c>
      <c r="R126" s="75">
        <f t="shared" si="50"/>
        <v>1</v>
      </c>
      <c r="S126" s="75">
        <f t="shared" si="51"/>
        <v>2</v>
      </c>
      <c r="T126" s="75">
        <f t="shared" si="52"/>
        <v>3</v>
      </c>
      <c r="U126" s="75">
        <f t="shared" si="53"/>
        <v>6</v>
      </c>
      <c r="V126" s="75">
        <f t="shared" si="54"/>
        <v>10</v>
      </c>
      <c r="W126" s="140"/>
      <c r="X126" s="75">
        <f t="shared" si="28"/>
        <v>0</v>
      </c>
      <c r="Y126" s="75">
        <f t="shared" si="29"/>
        <v>0</v>
      </c>
      <c r="Z126" s="75">
        <f t="shared" si="30"/>
        <v>0</v>
      </c>
      <c r="AA126" s="75">
        <f t="shared" si="31"/>
        <v>0</v>
      </c>
      <c r="AB126" s="75">
        <f t="shared" si="32"/>
        <v>0</v>
      </c>
      <c r="AC126" s="75">
        <f t="shared" si="33"/>
        <v>10</v>
      </c>
      <c r="AD126" s="75">
        <f t="shared" si="34"/>
        <v>10</v>
      </c>
      <c r="AE126" s="300"/>
      <c r="AF126" s="155"/>
      <c r="AG126" s="155"/>
      <c r="AH126" s="155"/>
      <c r="AI126" s="155"/>
      <c r="AJ126" s="155"/>
      <c r="AK126" s="155"/>
      <c r="AL126" s="155"/>
      <c r="AM126" s="155"/>
      <c r="AN126" s="155"/>
      <c r="AO126" s="155"/>
      <c r="AP126" s="155"/>
      <c r="AQ126" s="155"/>
      <c r="AR126" s="155"/>
      <c r="AS126" s="155"/>
      <c r="AT126" s="155"/>
      <c r="AU126" s="155"/>
      <c r="AV126" s="155"/>
      <c r="AW126" s="155"/>
      <c r="AX126" s="155"/>
      <c r="AY126" s="155"/>
      <c r="AZ126" s="155"/>
      <c r="BA126" s="155"/>
      <c r="BB126" s="155"/>
      <c r="BC126" s="155"/>
      <c r="BD126" s="155"/>
    </row>
    <row r="127" spans="1:56" s="90" customFormat="1" ht="72.75" customHeight="1" x14ac:dyDescent="0.25">
      <c r="A127" s="294"/>
      <c r="B127" s="288"/>
      <c r="C127" s="93"/>
      <c r="D127" s="91" t="s">
        <v>52</v>
      </c>
      <c r="E127" s="93"/>
      <c r="F127" s="91" t="s">
        <v>259</v>
      </c>
      <c r="G127" s="88">
        <v>10</v>
      </c>
      <c r="H127" s="87" t="s">
        <v>260</v>
      </c>
      <c r="I127" s="89" t="s">
        <v>292</v>
      </c>
      <c r="J127" s="75"/>
      <c r="K127" s="75"/>
      <c r="L127" s="75"/>
      <c r="M127" s="75"/>
      <c r="N127" s="75"/>
      <c r="O127" s="75">
        <v>1</v>
      </c>
      <c r="P127" s="143"/>
      <c r="Q127" s="75">
        <v>0</v>
      </c>
      <c r="R127" s="75">
        <f t="shared" si="50"/>
        <v>1</v>
      </c>
      <c r="S127" s="75">
        <f t="shared" si="51"/>
        <v>2</v>
      </c>
      <c r="T127" s="75">
        <f t="shared" si="52"/>
        <v>3</v>
      </c>
      <c r="U127" s="75">
        <f t="shared" si="53"/>
        <v>6</v>
      </c>
      <c r="V127" s="75">
        <f t="shared" si="54"/>
        <v>10</v>
      </c>
      <c r="W127" s="140"/>
      <c r="X127" s="75">
        <f t="shared" si="28"/>
        <v>0</v>
      </c>
      <c r="Y127" s="75">
        <f t="shared" si="29"/>
        <v>0</v>
      </c>
      <c r="Z127" s="75">
        <f t="shared" si="30"/>
        <v>0</v>
      </c>
      <c r="AA127" s="75">
        <f t="shared" si="31"/>
        <v>0</v>
      </c>
      <c r="AB127" s="75">
        <f t="shared" si="32"/>
        <v>0</v>
      </c>
      <c r="AC127" s="75">
        <f t="shared" si="33"/>
        <v>10</v>
      </c>
      <c r="AD127" s="75">
        <f t="shared" si="34"/>
        <v>10</v>
      </c>
      <c r="AE127" s="300"/>
      <c r="AF127" s="155"/>
      <c r="AG127" s="155"/>
      <c r="AH127" s="155"/>
      <c r="AI127" s="155"/>
      <c r="AJ127" s="155"/>
      <c r="AK127" s="155"/>
      <c r="AL127" s="155"/>
      <c r="AM127" s="155"/>
      <c r="AN127" s="155"/>
      <c r="AO127" s="155"/>
      <c r="AP127" s="155"/>
      <c r="AQ127" s="155"/>
      <c r="AR127" s="155"/>
      <c r="AS127" s="155"/>
      <c r="AT127" s="155"/>
      <c r="AU127" s="155"/>
      <c r="AV127" s="155"/>
      <c r="AW127" s="155"/>
      <c r="AX127" s="155"/>
      <c r="AY127" s="155"/>
      <c r="AZ127" s="155"/>
      <c r="BA127" s="155"/>
      <c r="BB127" s="155"/>
      <c r="BC127" s="155"/>
      <c r="BD127" s="155"/>
    </row>
    <row r="128" spans="1:56" s="90" customFormat="1" ht="63.75" customHeight="1" x14ac:dyDescent="0.25">
      <c r="A128" s="294"/>
      <c r="B128" s="288"/>
      <c r="C128" s="94"/>
      <c r="D128" s="95"/>
      <c r="E128" s="94"/>
      <c r="F128" s="95"/>
      <c r="G128" s="88">
        <v>11</v>
      </c>
      <c r="H128" s="87" t="s">
        <v>261</v>
      </c>
      <c r="I128" s="89"/>
      <c r="J128" s="75"/>
      <c r="K128" s="75"/>
      <c r="L128" s="75"/>
      <c r="M128" s="75"/>
      <c r="N128" s="75"/>
      <c r="O128" s="75">
        <v>1</v>
      </c>
      <c r="P128" s="142"/>
      <c r="Q128" s="75">
        <v>0</v>
      </c>
      <c r="R128" s="75">
        <f t="shared" si="50"/>
        <v>1</v>
      </c>
      <c r="S128" s="75">
        <f t="shared" si="51"/>
        <v>2</v>
      </c>
      <c r="T128" s="75">
        <f t="shared" si="52"/>
        <v>3</v>
      </c>
      <c r="U128" s="75">
        <f t="shared" si="53"/>
        <v>6</v>
      </c>
      <c r="V128" s="75">
        <f t="shared" si="54"/>
        <v>10</v>
      </c>
      <c r="W128" s="140"/>
      <c r="X128" s="75">
        <f t="shared" si="28"/>
        <v>0</v>
      </c>
      <c r="Y128" s="75">
        <f t="shared" si="29"/>
        <v>0</v>
      </c>
      <c r="Z128" s="75">
        <f t="shared" si="30"/>
        <v>0</v>
      </c>
      <c r="AA128" s="75">
        <f t="shared" si="31"/>
        <v>0</v>
      </c>
      <c r="AB128" s="75">
        <f t="shared" si="32"/>
        <v>0</v>
      </c>
      <c r="AC128" s="75">
        <f t="shared" si="33"/>
        <v>10</v>
      </c>
      <c r="AD128" s="75">
        <f t="shared" si="34"/>
        <v>10</v>
      </c>
      <c r="AE128" s="300"/>
      <c r="AF128" s="155"/>
      <c r="AG128" s="155"/>
      <c r="AH128" s="155"/>
      <c r="AI128" s="155"/>
      <c r="AJ128" s="155"/>
      <c r="AK128" s="155"/>
      <c r="AL128" s="155"/>
      <c r="AM128" s="155"/>
      <c r="AN128" s="155"/>
      <c r="AO128" s="155"/>
      <c r="AP128" s="155"/>
      <c r="AQ128" s="155"/>
      <c r="AR128" s="155"/>
      <c r="AS128" s="155"/>
      <c r="AT128" s="155"/>
      <c r="AU128" s="155"/>
      <c r="AV128" s="155"/>
      <c r="AW128" s="155"/>
      <c r="AX128" s="155"/>
      <c r="AY128" s="155"/>
      <c r="AZ128" s="155"/>
      <c r="BA128" s="155"/>
      <c r="BB128" s="155"/>
      <c r="BC128" s="155"/>
      <c r="BD128" s="155"/>
    </row>
    <row r="129" spans="1:56" s="90" customFormat="1" ht="54" customHeight="1" x14ac:dyDescent="0.25">
      <c r="A129" s="294"/>
      <c r="B129" s="288"/>
      <c r="C129" s="94"/>
      <c r="D129" s="95"/>
      <c r="E129" s="94"/>
      <c r="F129" s="95"/>
      <c r="G129" s="88">
        <v>12</v>
      </c>
      <c r="H129" s="87" t="s">
        <v>262</v>
      </c>
      <c r="I129" s="89"/>
      <c r="J129" s="75"/>
      <c r="K129" s="75"/>
      <c r="L129" s="75"/>
      <c r="M129" s="75"/>
      <c r="N129" s="75"/>
      <c r="O129" s="75">
        <v>1</v>
      </c>
      <c r="P129" s="143"/>
      <c r="Q129" s="75">
        <v>0</v>
      </c>
      <c r="R129" s="75">
        <f t="shared" si="50"/>
        <v>1</v>
      </c>
      <c r="S129" s="75">
        <f t="shared" si="51"/>
        <v>2</v>
      </c>
      <c r="T129" s="75">
        <f t="shared" si="52"/>
        <v>3</v>
      </c>
      <c r="U129" s="75">
        <f t="shared" si="53"/>
        <v>6</v>
      </c>
      <c r="V129" s="75">
        <f t="shared" si="54"/>
        <v>10</v>
      </c>
      <c r="W129" s="140"/>
      <c r="X129" s="75">
        <f t="shared" si="28"/>
        <v>0</v>
      </c>
      <c r="Y129" s="75">
        <f t="shared" si="29"/>
        <v>0</v>
      </c>
      <c r="Z129" s="75">
        <f t="shared" si="30"/>
        <v>0</v>
      </c>
      <c r="AA129" s="75">
        <f t="shared" si="31"/>
        <v>0</v>
      </c>
      <c r="AB129" s="75">
        <f t="shared" si="32"/>
        <v>0</v>
      </c>
      <c r="AC129" s="75">
        <f t="shared" si="33"/>
        <v>10</v>
      </c>
      <c r="AD129" s="75">
        <f t="shared" si="34"/>
        <v>10</v>
      </c>
      <c r="AE129" s="300"/>
      <c r="AF129" s="155"/>
      <c r="AG129" s="155"/>
      <c r="AH129" s="155"/>
      <c r="AI129" s="155"/>
      <c r="AJ129" s="155"/>
      <c r="AK129" s="155"/>
      <c r="AL129" s="155"/>
      <c r="AM129" s="155"/>
      <c r="AN129" s="155"/>
      <c r="AO129" s="155"/>
      <c r="AP129" s="155"/>
      <c r="AQ129" s="155"/>
      <c r="AR129" s="155"/>
      <c r="AS129" s="155"/>
      <c r="AT129" s="155"/>
      <c r="AU129" s="155"/>
      <c r="AV129" s="155"/>
      <c r="AW129" s="155"/>
      <c r="AX129" s="155"/>
      <c r="AY129" s="155"/>
      <c r="AZ129" s="155"/>
      <c r="BA129" s="155"/>
      <c r="BB129" s="155"/>
      <c r="BC129" s="155"/>
      <c r="BD129" s="155"/>
    </row>
    <row r="130" spans="1:56" s="90" customFormat="1" ht="62.25" customHeight="1" x14ac:dyDescent="0.25">
      <c r="A130" s="294"/>
      <c r="B130" s="288"/>
      <c r="C130" s="96"/>
      <c r="D130" s="92"/>
      <c r="E130" s="96"/>
      <c r="F130" s="92"/>
      <c r="G130" s="88">
        <v>13</v>
      </c>
      <c r="H130" s="87" t="s">
        <v>263</v>
      </c>
      <c r="I130" s="89"/>
      <c r="J130" s="75"/>
      <c r="K130" s="75"/>
      <c r="L130" s="75"/>
      <c r="M130" s="75"/>
      <c r="N130" s="75"/>
      <c r="O130" s="75">
        <v>1</v>
      </c>
      <c r="P130" s="145"/>
      <c r="Q130" s="75">
        <v>0</v>
      </c>
      <c r="R130" s="75">
        <f t="shared" si="50"/>
        <v>1</v>
      </c>
      <c r="S130" s="75">
        <f t="shared" si="51"/>
        <v>2</v>
      </c>
      <c r="T130" s="75">
        <f t="shared" si="52"/>
        <v>3</v>
      </c>
      <c r="U130" s="75">
        <f t="shared" si="53"/>
        <v>6</v>
      </c>
      <c r="V130" s="75">
        <f t="shared" si="54"/>
        <v>10</v>
      </c>
      <c r="W130" s="140"/>
      <c r="X130" s="75">
        <f t="shared" si="28"/>
        <v>0</v>
      </c>
      <c r="Y130" s="75">
        <f t="shared" si="29"/>
        <v>0</v>
      </c>
      <c r="Z130" s="75">
        <f t="shared" si="30"/>
        <v>0</v>
      </c>
      <c r="AA130" s="75">
        <f t="shared" si="31"/>
        <v>0</v>
      </c>
      <c r="AB130" s="75">
        <f t="shared" si="32"/>
        <v>0</v>
      </c>
      <c r="AC130" s="75">
        <f t="shared" si="33"/>
        <v>10</v>
      </c>
      <c r="AD130" s="75">
        <f t="shared" si="34"/>
        <v>10</v>
      </c>
      <c r="AE130" s="300"/>
      <c r="AF130" s="155"/>
      <c r="AG130" s="155"/>
      <c r="AH130" s="155"/>
      <c r="AI130" s="155"/>
      <c r="AJ130" s="155"/>
      <c r="AK130" s="155"/>
      <c r="AL130" s="155"/>
      <c r="AM130" s="155"/>
      <c r="AN130" s="155"/>
      <c r="AO130" s="155"/>
      <c r="AP130" s="155"/>
      <c r="AQ130" s="155"/>
      <c r="AR130" s="155"/>
      <c r="AS130" s="155"/>
      <c r="AT130" s="155"/>
      <c r="AU130" s="155"/>
      <c r="AV130" s="155"/>
      <c r="AW130" s="155"/>
      <c r="AX130" s="155"/>
      <c r="AY130" s="155"/>
      <c r="AZ130" s="155"/>
      <c r="BA130" s="155"/>
      <c r="BB130" s="155"/>
      <c r="BC130" s="155"/>
      <c r="BD130" s="155"/>
    </row>
    <row r="131" spans="1:56" s="90" customFormat="1" ht="62.25" customHeight="1" x14ac:dyDescent="0.25">
      <c r="A131" s="294"/>
      <c r="B131" s="288"/>
      <c r="C131" s="94"/>
      <c r="D131" s="281" t="s">
        <v>371</v>
      </c>
      <c r="E131" s="94"/>
      <c r="F131" s="95" t="s">
        <v>259</v>
      </c>
      <c r="G131" s="88">
        <v>14</v>
      </c>
      <c r="H131" s="87" t="s">
        <v>260</v>
      </c>
      <c r="I131" s="89"/>
      <c r="J131" s="75"/>
      <c r="K131" s="75"/>
      <c r="L131" s="75"/>
      <c r="M131" s="75"/>
      <c r="N131" s="75"/>
      <c r="O131" s="75">
        <v>1</v>
      </c>
      <c r="P131" s="145"/>
      <c r="Q131" s="75">
        <v>0</v>
      </c>
      <c r="R131" s="75">
        <f t="shared" si="50"/>
        <v>1</v>
      </c>
      <c r="S131" s="75">
        <f t="shared" si="51"/>
        <v>2</v>
      </c>
      <c r="T131" s="75">
        <f t="shared" si="52"/>
        <v>3</v>
      </c>
      <c r="U131" s="75">
        <f t="shared" si="53"/>
        <v>6</v>
      </c>
      <c r="V131" s="75">
        <f t="shared" si="54"/>
        <v>10</v>
      </c>
      <c r="W131" s="140"/>
      <c r="X131" s="75">
        <f t="shared" si="28"/>
        <v>0</v>
      </c>
      <c r="Y131" s="75">
        <f t="shared" si="29"/>
        <v>0</v>
      </c>
      <c r="Z131" s="75">
        <f t="shared" si="30"/>
        <v>0</v>
      </c>
      <c r="AA131" s="75">
        <f t="shared" si="31"/>
        <v>0</v>
      </c>
      <c r="AB131" s="75">
        <f t="shared" si="32"/>
        <v>0</v>
      </c>
      <c r="AC131" s="75">
        <f t="shared" si="33"/>
        <v>10</v>
      </c>
      <c r="AD131" s="75">
        <f t="shared" si="34"/>
        <v>10</v>
      </c>
      <c r="AE131" s="300"/>
      <c r="AF131" s="155"/>
      <c r="AG131" s="155"/>
      <c r="AH131" s="155"/>
      <c r="AI131" s="155"/>
      <c r="AJ131" s="155"/>
      <c r="AK131" s="155"/>
      <c r="AL131" s="155"/>
      <c r="AM131" s="155"/>
      <c r="AN131" s="155"/>
      <c r="AO131" s="155"/>
      <c r="AP131" s="155"/>
      <c r="AQ131" s="155"/>
      <c r="AR131" s="155"/>
      <c r="AS131" s="155"/>
      <c r="AT131" s="155"/>
      <c r="AU131" s="155"/>
      <c r="AV131" s="155"/>
      <c r="AW131" s="155"/>
      <c r="AX131" s="155"/>
      <c r="AY131" s="155"/>
      <c r="AZ131" s="155"/>
      <c r="BA131" s="155"/>
      <c r="BB131" s="155"/>
      <c r="BC131" s="155"/>
      <c r="BD131" s="155"/>
    </row>
    <row r="132" spans="1:56" s="90" customFormat="1" ht="62.25" customHeight="1" thickBot="1" x14ac:dyDescent="0.3">
      <c r="A132" s="294"/>
      <c r="B132" s="288"/>
      <c r="C132" s="94"/>
      <c r="D132" s="282"/>
      <c r="E132" s="94"/>
      <c r="F132" s="95"/>
      <c r="G132" s="88">
        <v>15</v>
      </c>
      <c r="H132" s="87" t="s">
        <v>261</v>
      </c>
      <c r="I132" s="89"/>
      <c r="J132" s="75"/>
      <c r="K132" s="75"/>
      <c r="L132" s="75"/>
      <c r="M132" s="75"/>
      <c r="N132" s="75"/>
      <c r="O132" s="75">
        <v>1</v>
      </c>
      <c r="P132" s="145"/>
      <c r="Q132" s="75">
        <v>0</v>
      </c>
      <c r="R132" s="75">
        <f t="shared" si="50"/>
        <v>1</v>
      </c>
      <c r="S132" s="75">
        <f t="shared" si="51"/>
        <v>2</v>
      </c>
      <c r="T132" s="75">
        <f t="shared" si="52"/>
        <v>3</v>
      </c>
      <c r="U132" s="75">
        <f t="shared" si="53"/>
        <v>6</v>
      </c>
      <c r="V132" s="75">
        <f t="shared" si="54"/>
        <v>10</v>
      </c>
      <c r="W132" s="140"/>
      <c r="X132" s="75">
        <f t="shared" si="28"/>
        <v>0</v>
      </c>
      <c r="Y132" s="75">
        <f t="shared" si="29"/>
        <v>0</v>
      </c>
      <c r="Z132" s="75">
        <f t="shared" si="30"/>
        <v>0</v>
      </c>
      <c r="AA132" s="75">
        <f t="shared" si="31"/>
        <v>0</v>
      </c>
      <c r="AB132" s="75">
        <f t="shared" si="32"/>
        <v>0</v>
      </c>
      <c r="AC132" s="75">
        <f t="shared" si="33"/>
        <v>10</v>
      </c>
      <c r="AD132" s="75">
        <f t="shared" si="34"/>
        <v>10</v>
      </c>
      <c r="AE132" s="300"/>
      <c r="AF132" s="155"/>
      <c r="AG132" s="155"/>
      <c r="AH132" s="155"/>
      <c r="AI132" s="155"/>
      <c r="AJ132" s="155"/>
      <c r="AK132" s="155"/>
      <c r="AL132" s="155"/>
      <c r="AM132" s="155"/>
      <c r="AN132" s="155"/>
      <c r="AO132" s="155"/>
      <c r="AP132" s="155"/>
      <c r="AQ132" s="155"/>
      <c r="AR132" s="155"/>
      <c r="AS132" s="155"/>
      <c r="AT132" s="155"/>
      <c r="AU132" s="155"/>
      <c r="AV132" s="155"/>
      <c r="AW132" s="155"/>
      <c r="AX132" s="155"/>
      <c r="AY132" s="155"/>
      <c r="AZ132" s="155"/>
      <c r="BA132" s="155"/>
      <c r="BB132" s="155"/>
      <c r="BC132" s="155"/>
      <c r="BD132" s="155"/>
    </row>
    <row r="133" spans="1:56" s="90" customFormat="1" ht="62.25" customHeight="1" thickBot="1" x14ac:dyDescent="0.3">
      <c r="A133" s="295"/>
      <c r="B133" s="289"/>
      <c r="C133" s="94"/>
      <c r="D133" s="283"/>
      <c r="E133" s="94"/>
      <c r="F133" s="95"/>
      <c r="G133" s="88">
        <v>16</v>
      </c>
      <c r="H133" s="87" t="s">
        <v>262</v>
      </c>
      <c r="I133" s="89"/>
      <c r="J133" s="75"/>
      <c r="K133" s="75"/>
      <c r="L133" s="75"/>
      <c r="M133" s="75"/>
      <c r="N133" s="75"/>
      <c r="O133" s="75">
        <v>1</v>
      </c>
      <c r="P133" s="145"/>
      <c r="Q133" s="75">
        <v>0</v>
      </c>
      <c r="R133" s="75">
        <f t="shared" si="50"/>
        <v>1</v>
      </c>
      <c r="S133" s="75">
        <f t="shared" si="51"/>
        <v>2</v>
      </c>
      <c r="T133" s="75">
        <f t="shared" si="52"/>
        <v>3</v>
      </c>
      <c r="U133" s="75">
        <f t="shared" si="53"/>
        <v>6</v>
      </c>
      <c r="V133" s="75">
        <f t="shared" si="54"/>
        <v>10</v>
      </c>
      <c r="W133" s="140"/>
      <c r="X133" s="75">
        <f t="shared" si="28"/>
        <v>0</v>
      </c>
      <c r="Y133" s="75">
        <f t="shared" si="29"/>
        <v>0</v>
      </c>
      <c r="Z133" s="75">
        <f t="shared" si="30"/>
        <v>0</v>
      </c>
      <c r="AA133" s="75">
        <f t="shared" si="31"/>
        <v>0</v>
      </c>
      <c r="AB133" s="75">
        <f t="shared" si="32"/>
        <v>0</v>
      </c>
      <c r="AC133" s="75">
        <f t="shared" si="33"/>
        <v>10</v>
      </c>
      <c r="AD133" s="75">
        <f t="shared" si="34"/>
        <v>10</v>
      </c>
      <c r="AE133" s="300"/>
      <c r="AF133" s="156"/>
      <c r="AG133" s="155"/>
      <c r="AH133" s="155"/>
      <c r="AI133" s="155"/>
      <c r="AJ133" s="155"/>
      <c r="AK133" s="155"/>
      <c r="AL133" s="155"/>
      <c r="AM133" s="155"/>
      <c r="AN133" s="155"/>
      <c r="AO133" s="155"/>
      <c r="AP133" s="155"/>
      <c r="AQ133" s="155"/>
      <c r="AR133" s="155"/>
      <c r="AS133" s="155"/>
      <c r="AT133" s="155"/>
      <c r="AU133" s="155"/>
      <c r="AV133" s="155"/>
      <c r="AW133" s="155"/>
      <c r="AX133" s="155"/>
      <c r="AY133" s="155"/>
      <c r="AZ133" s="155"/>
      <c r="BA133" s="155"/>
      <c r="BB133" s="155"/>
      <c r="BC133" s="155"/>
      <c r="BD133" s="155"/>
    </row>
    <row r="134" spans="1:56" s="90" customFormat="1" ht="44.25" customHeight="1" x14ac:dyDescent="0.25">
      <c r="A134" s="293">
        <v>11</v>
      </c>
      <c r="B134" s="287" t="s">
        <v>53</v>
      </c>
      <c r="C134" s="93"/>
      <c r="D134" s="91" t="s">
        <v>54</v>
      </c>
      <c r="E134" s="93"/>
      <c r="F134" s="91" t="s">
        <v>264</v>
      </c>
      <c r="G134" s="88">
        <v>1</v>
      </c>
      <c r="H134" s="87" t="s">
        <v>265</v>
      </c>
      <c r="I134" s="89" t="s">
        <v>289</v>
      </c>
      <c r="J134" s="75"/>
      <c r="K134" s="75"/>
      <c r="L134" s="75"/>
      <c r="M134" s="75"/>
      <c r="N134" s="75"/>
      <c r="O134" s="75">
        <v>1</v>
      </c>
      <c r="P134" s="145"/>
      <c r="Q134" s="75">
        <v>0</v>
      </c>
      <c r="R134" s="75">
        <f>20*0.1</f>
        <v>2</v>
      </c>
      <c r="S134" s="75">
        <f>20*0.2</f>
        <v>4</v>
      </c>
      <c r="T134" s="75">
        <f>20*0.3</f>
        <v>6</v>
      </c>
      <c r="U134" s="75">
        <f>20*0.6</f>
        <v>12</v>
      </c>
      <c r="V134" s="75">
        <f>20*1</f>
        <v>20</v>
      </c>
      <c r="W134" s="140"/>
      <c r="X134" s="75">
        <f t="shared" ref="X134:X153" si="55">J134*Q134</f>
        <v>0</v>
      </c>
      <c r="Y134" s="75">
        <f t="shared" ref="Y134:Y153" si="56">K134*R134</f>
        <v>0</v>
      </c>
      <c r="Z134" s="75">
        <f t="shared" ref="Z134:Z153" si="57">L134*S134</f>
        <v>0</v>
      </c>
      <c r="AA134" s="75">
        <f t="shared" ref="AA134:AA153" si="58">M134*T134</f>
        <v>0</v>
      </c>
      <c r="AB134" s="75">
        <f t="shared" ref="AB134:AB153" si="59">N134*U134</f>
        <v>0</v>
      </c>
      <c r="AC134" s="75">
        <f t="shared" ref="AC134:AC153" si="60">O134*V134</f>
        <v>20</v>
      </c>
      <c r="AD134" s="75">
        <f t="shared" ref="AD134:AD153" si="61">X134+Y134+Z134+AA134+AB134+AC134</f>
        <v>20</v>
      </c>
      <c r="AE134" s="300">
        <f>+SUM(AD134:AD138)</f>
        <v>100</v>
      </c>
      <c r="AF134" s="155"/>
      <c r="AG134" s="155"/>
      <c r="AH134" s="155"/>
      <c r="AI134" s="155"/>
      <c r="AJ134" s="155"/>
      <c r="AK134" s="155"/>
      <c r="AL134" s="155"/>
      <c r="AM134" s="155"/>
      <c r="AN134" s="155"/>
      <c r="AO134" s="155"/>
      <c r="AP134" s="155"/>
      <c r="AQ134" s="155"/>
      <c r="AR134" s="155"/>
      <c r="AS134" s="155"/>
      <c r="AT134" s="155"/>
      <c r="AU134" s="155"/>
      <c r="AV134" s="155"/>
      <c r="AW134" s="155"/>
      <c r="AX134" s="155"/>
      <c r="AY134" s="155"/>
      <c r="AZ134" s="155"/>
      <c r="BA134" s="155"/>
      <c r="BB134" s="155"/>
      <c r="BC134" s="155"/>
      <c r="BD134" s="155"/>
    </row>
    <row r="135" spans="1:56" s="90" customFormat="1" ht="71.25" customHeight="1" x14ac:dyDescent="0.25">
      <c r="A135" s="294"/>
      <c r="B135" s="288"/>
      <c r="C135" s="94"/>
      <c r="D135" s="95"/>
      <c r="E135" s="94"/>
      <c r="F135" s="95"/>
      <c r="G135" s="88">
        <v>2</v>
      </c>
      <c r="H135" s="87" t="s">
        <v>266</v>
      </c>
      <c r="I135" s="89"/>
      <c r="J135" s="75"/>
      <c r="K135" s="75"/>
      <c r="L135" s="75"/>
      <c r="M135" s="75"/>
      <c r="N135" s="75"/>
      <c r="O135" s="75">
        <v>1</v>
      </c>
      <c r="P135" s="142"/>
      <c r="Q135" s="75">
        <v>0</v>
      </c>
      <c r="R135" s="75">
        <f>20*0.1</f>
        <v>2</v>
      </c>
      <c r="S135" s="75">
        <f>20*0.2</f>
        <v>4</v>
      </c>
      <c r="T135" s="75">
        <f>20*0.3</f>
        <v>6</v>
      </c>
      <c r="U135" s="75">
        <f>20*0.6</f>
        <v>12</v>
      </c>
      <c r="V135" s="75">
        <f>20*1</f>
        <v>20</v>
      </c>
      <c r="W135" s="140"/>
      <c r="X135" s="75">
        <f t="shared" si="55"/>
        <v>0</v>
      </c>
      <c r="Y135" s="75">
        <f t="shared" si="56"/>
        <v>0</v>
      </c>
      <c r="Z135" s="75">
        <f t="shared" si="57"/>
        <v>0</v>
      </c>
      <c r="AA135" s="75">
        <f t="shared" si="58"/>
        <v>0</v>
      </c>
      <c r="AB135" s="75">
        <f t="shared" si="59"/>
        <v>0</v>
      </c>
      <c r="AC135" s="75">
        <f t="shared" si="60"/>
        <v>20</v>
      </c>
      <c r="AD135" s="75">
        <f t="shared" si="61"/>
        <v>20</v>
      </c>
      <c r="AE135" s="300"/>
      <c r="AF135" s="155"/>
      <c r="AG135" s="155"/>
      <c r="AH135" s="155"/>
      <c r="AI135" s="155"/>
      <c r="AJ135" s="155"/>
      <c r="AK135" s="155"/>
      <c r="AL135" s="155"/>
      <c r="AM135" s="155"/>
      <c r="AN135" s="155"/>
      <c r="AO135" s="155"/>
      <c r="AP135" s="155"/>
      <c r="AQ135" s="155"/>
      <c r="AR135" s="155"/>
      <c r="AS135" s="155"/>
      <c r="AT135" s="155"/>
      <c r="AU135" s="155"/>
      <c r="AV135" s="155"/>
      <c r="AW135" s="155"/>
      <c r="AX135" s="155"/>
      <c r="AY135" s="155"/>
      <c r="AZ135" s="155"/>
      <c r="BA135" s="155"/>
      <c r="BB135" s="155"/>
      <c r="BC135" s="155"/>
      <c r="BD135" s="155"/>
    </row>
    <row r="136" spans="1:56" s="90" customFormat="1" ht="114.75" customHeight="1" x14ac:dyDescent="0.25">
      <c r="A136" s="294"/>
      <c r="B136" s="288"/>
      <c r="C136" s="96"/>
      <c r="D136" s="92"/>
      <c r="E136" s="96"/>
      <c r="F136" s="92"/>
      <c r="G136" s="88">
        <v>3</v>
      </c>
      <c r="H136" s="87" t="s">
        <v>267</v>
      </c>
      <c r="I136" s="89"/>
      <c r="J136" s="75"/>
      <c r="K136" s="75"/>
      <c r="L136" s="75"/>
      <c r="M136" s="75"/>
      <c r="N136" s="75"/>
      <c r="O136" s="75">
        <v>1</v>
      </c>
      <c r="P136" s="143"/>
      <c r="Q136" s="75">
        <v>0</v>
      </c>
      <c r="R136" s="75">
        <f t="shared" ref="R136:R138" si="62">20*0.1</f>
        <v>2</v>
      </c>
      <c r="S136" s="75">
        <f t="shared" ref="S136:S138" si="63">20*0.2</f>
        <v>4</v>
      </c>
      <c r="T136" s="75">
        <f t="shared" ref="T136:T138" si="64">20*0.3</f>
        <v>6</v>
      </c>
      <c r="U136" s="75">
        <f t="shared" ref="U136:U138" si="65">20*0.6</f>
        <v>12</v>
      </c>
      <c r="V136" s="75">
        <f t="shared" ref="V136:V138" si="66">20*1</f>
        <v>20</v>
      </c>
      <c r="W136" s="140"/>
      <c r="X136" s="75">
        <f t="shared" si="55"/>
        <v>0</v>
      </c>
      <c r="Y136" s="75">
        <f t="shared" si="56"/>
        <v>0</v>
      </c>
      <c r="Z136" s="75">
        <f t="shared" si="57"/>
        <v>0</v>
      </c>
      <c r="AA136" s="75">
        <f t="shared" si="58"/>
        <v>0</v>
      </c>
      <c r="AB136" s="75">
        <f t="shared" si="59"/>
        <v>0</v>
      </c>
      <c r="AC136" s="75">
        <f t="shared" si="60"/>
        <v>20</v>
      </c>
      <c r="AD136" s="75">
        <f t="shared" si="61"/>
        <v>20</v>
      </c>
      <c r="AE136" s="300"/>
      <c r="AF136" s="155"/>
      <c r="AG136" s="155"/>
      <c r="AH136" s="155"/>
      <c r="AI136" s="155"/>
      <c r="AJ136" s="155"/>
      <c r="AK136" s="155"/>
      <c r="AL136" s="155"/>
      <c r="AM136" s="155"/>
      <c r="AN136" s="155"/>
      <c r="AO136" s="155"/>
      <c r="AP136" s="155"/>
      <c r="AQ136" s="155"/>
      <c r="AR136" s="155"/>
      <c r="AS136" s="155"/>
      <c r="AT136" s="155"/>
      <c r="AU136" s="155"/>
      <c r="AV136" s="155"/>
      <c r="AW136" s="155"/>
      <c r="AX136" s="155"/>
      <c r="AY136" s="155"/>
      <c r="AZ136" s="155"/>
      <c r="BA136" s="155"/>
      <c r="BB136" s="155"/>
      <c r="BC136" s="155"/>
      <c r="BD136" s="155"/>
    </row>
    <row r="137" spans="1:56" s="90" customFormat="1" ht="168.75" customHeight="1" x14ac:dyDescent="0.25">
      <c r="A137" s="294"/>
      <c r="B137" s="288"/>
      <c r="C137" s="93"/>
      <c r="D137" s="91" t="s">
        <v>55</v>
      </c>
      <c r="E137" s="93"/>
      <c r="F137" s="91" t="s">
        <v>268</v>
      </c>
      <c r="G137" s="88">
        <v>4</v>
      </c>
      <c r="H137" s="87" t="s">
        <v>269</v>
      </c>
      <c r="I137" s="89" t="s">
        <v>289</v>
      </c>
      <c r="J137" s="75"/>
      <c r="K137" s="75"/>
      <c r="L137" s="75"/>
      <c r="M137" s="75"/>
      <c r="N137" s="75"/>
      <c r="O137" s="75">
        <v>1</v>
      </c>
      <c r="P137" s="145"/>
      <c r="Q137" s="75">
        <v>0</v>
      </c>
      <c r="R137" s="75">
        <f t="shared" si="62"/>
        <v>2</v>
      </c>
      <c r="S137" s="75">
        <f t="shared" si="63"/>
        <v>4</v>
      </c>
      <c r="T137" s="75">
        <f t="shared" si="64"/>
        <v>6</v>
      </c>
      <c r="U137" s="75">
        <f t="shared" si="65"/>
        <v>12</v>
      </c>
      <c r="V137" s="75">
        <f t="shared" si="66"/>
        <v>20</v>
      </c>
      <c r="W137" s="140"/>
      <c r="X137" s="75">
        <f t="shared" si="55"/>
        <v>0</v>
      </c>
      <c r="Y137" s="75">
        <f t="shared" si="56"/>
        <v>0</v>
      </c>
      <c r="Z137" s="75">
        <f t="shared" si="57"/>
        <v>0</v>
      </c>
      <c r="AA137" s="75">
        <f t="shared" si="58"/>
        <v>0</v>
      </c>
      <c r="AB137" s="75">
        <f t="shared" si="59"/>
        <v>0</v>
      </c>
      <c r="AC137" s="75">
        <f t="shared" si="60"/>
        <v>20</v>
      </c>
      <c r="AD137" s="75">
        <f t="shared" si="61"/>
        <v>20</v>
      </c>
      <c r="AE137" s="300"/>
      <c r="AF137" s="155"/>
      <c r="AG137" s="155"/>
      <c r="AH137" s="155"/>
      <c r="AI137" s="155"/>
      <c r="AJ137" s="155"/>
      <c r="AK137" s="155"/>
      <c r="AL137" s="155"/>
      <c r="AM137" s="155"/>
      <c r="AN137" s="155"/>
      <c r="AO137" s="155"/>
      <c r="AP137" s="155"/>
      <c r="AQ137" s="155"/>
      <c r="AR137" s="155"/>
      <c r="AS137" s="155"/>
      <c r="AT137" s="155"/>
      <c r="AU137" s="155"/>
      <c r="AV137" s="155"/>
      <c r="AW137" s="155"/>
      <c r="AX137" s="155"/>
      <c r="AY137" s="155"/>
      <c r="AZ137" s="155"/>
      <c r="BA137" s="155"/>
      <c r="BB137" s="155"/>
      <c r="BC137" s="155"/>
      <c r="BD137" s="155"/>
    </row>
    <row r="138" spans="1:56" s="90" customFormat="1" ht="84.75" customHeight="1" x14ac:dyDescent="0.25">
      <c r="A138" s="295"/>
      <c r="B138" s="289"/>
      <c r="C138" s="96"/>
      <c r="D138" s="92"/>
      <c r="E138" s="96"/>
      <c r="F138" s="92"/>
      <c r="G138" s="88">
        <v>5</v>
      </c>
      <c r="H138" s="87" t="s">
        <v>270</v>
      </c>
      <c r="I138" s="89"/>
      <c r="J138" s="75"/>
      <c r="K138" s="75"/>
      <c r="L138" s="75"/>
      <c r="M138" s="75"/>
      <c r="N138" s="75"/>
      <c r="O138" s="75">
        <v>1</v>
      </c>
      <c r="P138" s="142"/>
      <c r="Q138" s="75">
        <v>0</v>
      </c>
      <c r="R138" s="75">
        <f t="shared" si="62"/>
        <v>2</v>
      </c>
      <c r="S138" s="75">
        <f t="shared" si="63"/>
        <v>4</v>
      </c>
      <c r="T138" s="75">
        <f t="shared" si="64"/>
        <v>6</v>
      </c>
      <c r="U138" s="75">
        <f t="shared" si="65"/>
        <v>12</v>
      </c>
      <c r="V138" s="75">
        <f t="shared" si="66"/>
        <v>20</v>
      </c>
      <c r="W138" s="140"/>
      <c r="X138" s="75">
        <f t="shared" si="55"/>
        <v>0</v>
      </c>
      <c r="Y138" s="75">
        <f t="shared" si="56"/>
        <v>0</v>
      </c>
      <c r="Z138" s="75">
        <f t="shared" si="57"/>
        <v>0</v>
      </c>
      <c r="AA138" s="75">
        <f t="shared" si="58"/>
        <v>0</v>
      </c>
      <c r="AB138" s="75">
        <f t="shared" si="59"/>
        <v>0</v>
      </c>
      <c r="AC138" s="75">
        <f t="shared" si="60"/>
        <v>20</v>
      </c>
      <c r="AD138" s="75">
        <f t="shared" si="61"/>
        <v>20</v>
      </c>
      <c r="AE138" s="301"/>
      <c r="AF138" s="155"/>
      <c r="AG138" s="155"/>
      <c r="AH138" s="155"/>
      <c r="AI138" s="155"/>
      <c r="AJ138" s="155"/>
      <c r="AK138" s="155"/>
      <c r="AL138" s="155"/>
      <c r="AM138" s="155"/>
      <c r="AN138" s="155"/>
      <c r="AO138" s="155"/>
      <c r="AP138" s="155"/>
      <c r="AQ138" s="155"/>
      <c r="AR138" s="155"/>
      <c r="AS138" s="155"/>
      <c r="AT138" s="155"/>
      <c r="AU138" s="155"/>
      <c r="AV138" s="155"/>
      <c r="AW138" s="155"/>
      <c r="AX138" s="155"/>
      <c r="AY138" s="155"/>
      <c r="AZ138" s="155"/>
      <c r="BA138" s="155"/>
      <c r="BB138" s="155"/>
      <c r="BC138" s="155"/>
      <c r="BD138" s="155"/>
    </row>
    <row r="139" spans="1:56" s="90" customFormat="1" ht="75" customHeight="1" x14ac:dyDescent="0.25">
      <c r="A139" s="299">
        <v>12</v>
      </c>
      <c r="B139" s="284" t="s">
        <v>56</v>
      </c>
      <c r="C139" s="93"/>
      <c r="D139" s="91" t="s">
        <v>56</v>
      </c>
      <c r="E139" s="93"/>
      <c r="F139" s="91" t="s">
        <v>271</v>
      </c>
      <c r="G139" s="88">
        <v>1</v>
      </c>
      <c r="H139" s="87" t="s">
        <v>272</v>
      </c>
      <c r="I139" s="89" t="s">
        <v>293</v>
      </c>
      <c r="J139" s="75"/>
      <c r="K139" s="75"/>
      <c r="L139" s="75"/>
      <c r="M139" s="75"/>
      <c r="N139" s="75"/>
      <c r="O139" s="75">
        <v>1</v>
      </c>
      <c r="P139" s="143"/>
      <c r="Q139" s="75">
        <v>0</v>
      </c>
      <c r="R139" s="75">
        <f>22*0.1</f>
        <v>2.2000000000000002</v>
      </c>
      <c r="S139" s="75">
        <f>22*0.2</f>
        <v>4.4000000000000004</v>
      </c>
      <c r="T139" s="75">
        <f>22*0.3</f>
        <v>6.6</v>
      </c>
      <c r="U139" s="75">
        <f>22*0.6</f>
        <v>13.2</v>
      </c>
      <c r="V139" s="75">
        <f>22*1</f>
        <v>22</v>
      </c>
      <c r="W139" s="140"/>
      <c r="X139" s="75">
        <f t="shared" si="55"/>
        <v>0</v>
      </c>
      <c r="Y139" s="75">
        <f t="shared" si="56"/>
        <v>0</v>
      </c>
      <c r="Z139" s="75">
        <f t="shared" si="57"/>
        <v>0</v>
      </c>
      <c r="AA139" s="75">
        <f t="shared" si="58"/>
        <v>0</v>
      </c>
      <c r="AB139" s="75">
        <f t="shared" si="59"/>
        <v>0</v>
      </c>
      <c r="AC139" s="75">
        <f t="shared" si="60"/>
        <v>22</v>
      </c>
      <c r="AD139" s="75">
        <f t="shared" si="61"/>
        <v>22</v>
      </c>
      <c r="AE139" s="299">
        <f>+SUM(AD139:AD145)</f>
        <v>160</v>
      </c>
      <c r="AF139" s="155"/>
      <c r="AG139" s="155"/>
      <c r="AH139" s="155"/>
      <c r="AI139" s="155"/>
      <c r="AJ139" s="155"/>
      <c r="AK139" s="155"/>
      <c r="AL139" s="155"/>
      <c r="AM139" s="155"/>
      <c r="AN139" s="155"/>
      <c r="AO139" s="155"/>
      <c r="AP139" s="155"/>
      <c r="AQ139" s="155"/>
      <c r="AR139" s="155"/>
      <c r="AS139" s="155"/>
      <c r="AT139" s="155"/>
      <c r="AU139" s="155"/>
      <c r="AV139" s="155"/>
      <c r="AW139" s="155"/>
      <c r="AX139" s="155"/>
      <c r="AY139" s="155"/>
      <c r="AZ139" s="155"/>
      <c r="BA139" s="155"/>
      <c r="BB139" s="155"/>
      <c r="BC139" s="155"/>
      <c r="BD139" s="155"/>
    </row>
    <row r="140" spans="1:56" s="90" customFormat="1" ht="65.25" customHeight="1" x14ac:dyDescent="0.25">
      <c r="A140" s="300"/>
      <c r="B140" s="285"/>
      <c r="C140" s="94"/>
      <c r="D140" s="95"/>
      <c r="E140" s="94"/>
      <c r="F140" s="95"/>
      <c r="G140" s="88">
        <v>2</v>
      </c>
      <c r="H140" s="87" t="s">
        <v>273</v>
      </c>
      <c r="I140" s="89"/>
      <c r="J140" s="75"/>
      <c r="K140" s="75"/>
      <c r="L140" s="75"/>
      <c r="M140" s="75"/>
      <c r="N140" s="75"/>
      <c r="O140" s="75">
        <v>1</v>
      </c>
      <c r="P140" s="145"/>
      <c r="Q140" s="75">
        <v>0</v>
      </c>
      <c r="R140" s="75">
        <f t="shared" ref="R140:R145" si="67">23*0.1</f>
        <v>2.3000000000000003</v>
      </c>
      <c r="S140" s="75">
        <f t="shared" ref="S140:S145" si="68">23*0.2</f>
        <v>4.6000000000000005</v>
      </c>
      <c r="T140" s="75">
        <f t="shared" ref="T140:T145" si="69">23*0.3</f>
        <v>6.8999999999999995</v>
      </c>
      <c r="U140" s="75">
        <f t="shared" ref="U140:U145" si="70">23*0.6</f>
        <v>13.799999999999999</v>
      </c>
      <c r="V140" s="75">
        <f t="shared" ref="V140:V145" si="71">23*1</f>
        <v>23</v>
      </c>
      <c r="W140" s="140"/>
      <c r="X140" s="75">
        <f t="shared" si="55"/>
        <v>0</v>
      </c>
      <c r="Y140" s="75">
        <f t="shared" si="56"/>
        <v>0</v>
      </c>
      <c r="Z140" s="75">
        <f t="shared" si="57"/>
        <v>0</v>
      </c>
      <c r="AA140" s="75">
        <f t="shared" si="58"/>
        <v>0</v>
      </c>
      <c r="AB140" s="75">
        <f t="shared" si="59"/>
        <v>0</v>
      </c>
      <c r="AC140" s="75">
        <f t="shared" si="60"/>
        <v>23</v>
      </c>
      <c r="AD140" s="75">
        <f t="shared" si="61"/>
        <v>23</v>
      </c>
      <c r="AE140" s="300"/>
      <c r="AF140" s="155"/>
      <c r="AG140" s="155"/>
      <c r="AH140" s="155"/>
      <c r="AI140" s="155"/>
      <c r="AJ140" s="155"/>
      <c r="AK140" s="155"/>
      <c r="AL140" s="155"/>
      <c r="AM140" s="155"/>
      <c r="AN140" s="155"/>
      <c r="AO140" s="155"/>
      <c r="AP140" s="155"/>
      <c r="AQ140" s="155"/>
      <c r="AR140" s="155"/>
      <c r="AS140" s="155"/>
      <c r="AT140" s="155"/>
      <c r="AU140" s="155"/>
      <c r="AV140" s="155"/>
      <c r="AW140" s="155"/>
      <c r="AX140" s="155"/>
      <c r="AY140" s="155"/>
      <c r="AZ140" s="155"/>
      <c r="BA140" s="155"/>
      <c r="BB140" s="155"/>
      <c r="BC140" s="155"/>
      <c r="BD140" s="155"/>
    </row>
    <row r="141" spans="1:56" s="90" customFormat="1" ht="74.25" customHeight="1" x14ac:dyDescent="0.25">
      <c r="A141" s="300"/>
      <c r="B141" s="285"/>
      <c r="C141" s="94"/>
      <c r="D141" s="95"/>
      <c r="E141" s="94"/>
      <c r="F141" s="95"/>
      <c r="G141" s="88">
        <v>3</v>
      </c>
      <c r="H141" s="87" t="s">
        <v>274</v>
      </c>
      <c r="I141" s="89"/>
      <c r="J141" s="75"/>
      <c r="K141" s="75"/>
      <c r="L141" s="75"/>
      <c r="M141" s="75"/>
      <c r="N141" s="75"/>
      <c r="O141" s="75">
        <v>1</v>
      </c>
      <c r="P141" s="145"/>
      <c r="Q141" s="75">
        <v>0</v>
      </c>
      <c r="R141" s="75">
        <f t="shared" si="67"/>
        <v>2.3000000000000003</v>
      </c>
      <c r="S141" s="75">
        <f t="shared" si="68"/>
        <v>4.6000000000000005</v>
      </c>
      <c r="T141" s="75">
        <f t="shared" si="69"/>
        <v>6.8999999999999995</v>
      </c>
      <c r="U141" s="75">
        <f t="shared" si="70"/>
        <v>13.799999999999999</v>
      </c>
      <c r="V141" s="75">
        <f t="shared" si="71"/>
        <v>23</v>
      </c>
      <c r="W141" s="140"/>
      <c r="X141" s="75">
        <f t="shared" si="55"/>
        <v>0</v>
      </c>
      <c r="Y141" s="75">
        <f t="shared" si="56"/>
        <v>0</v>
      </c>
      <c r="Z141" s="75">
        <f t="shared" si="57"/>
        <v>0</v>
      </c>
      <c r="AA141" s="75">
        <f t="shared" si="58"/>
        <v>0</v>
      </c>
      <c r="AB141" s="75">
        <f t="shared" si="59"/>
        <v>0</v>
      </c>
      <c r="AC141" s="75">
        <f t="shared" si="60"/>
        <v>23</v>
      </c>
      <c r="AD141" s="75">
        <f t="shared" si="61"/>
        <v>23</v>
      </c>
      <c r="AE141" s="300"/>
      <c r="AF141" s="155"/>
      <c r="AG141" s="155"/>
      <c r="AH141" s="155"/>
      <c r="AI141" s="155"/>
      <c r="AJ141" s="155"/>
      <c r="AK141" s="155"/>
      <c r="AL141" s="155"/>
      <c r="AM141" s="155"/>
      <c r="AN141" s="155"/>
      <c r="AO141" s="155"/>
      <c r="AP141" s="155"/>
      <c r="AQ141" s="155"/>
      <c r="AR141" s="155"/>
      <c r="AS141" s="155"/>
      <c r="AT141" s="155"/>
      <c r="AU141" s="155"/>
      <c r="AV141" s="155"/>
      <c r="AW141" s="155"/>
      <c r="AX141" s="155"/>
      <c r="AY141" s="155"/>
      <c r="AZ141" s="155"/>
      <c r="BA141" s="155"/>
      <c r="BB141" s="155"/>
      <c r="BC141" s="155"/>
      <c r="BD141" s="155"/>
    </row>
    <row r="142" spans="1:56" s="90" customFormat="1" ht="132" customHeight="1" x14ac:dyDescent="0.25">
      <c r="A142" s="300"/>
      <c r="B142" s="285"/>
      <c r="C142" s="96"/>
      <c r="D142" s="92"/>
      <c r="E142" s="96"/>
      <c r="F142" s="92"/>
      <c r="G142" s="88">
        <v>4</v>
      </c>
      <c r="H142" s="87" t="s">
        <v>275</v>
      </c>
      <c r="I142" s="89"/>
      <c r="J142" s="75"/>
      <c r="K142" s="75"/>
      <c r="L142" s="75"/>
      <c r="M142" s="75"/>
      <c r="N142" s="75"/>
      <c r="O142" s="75">
        <v>1</v>
      </c>
      <c r="P142" s="145"/>
      <c r="Q142" s="75">
        <v>0</v>
      </c>
      <c r="R142" s="75">
        <f t="shared" si="67"/>
        <v>2.3000000000000003</v>
      </c>
      <c r="S142" s="75">
        <f t="shared" si="68"/>
        <v>4.6000000000000005</v>
      </c>
      <c r="T142" s="75">
        <f t="shared" si="69"/>
        <v>6.8999999999999995</v>
      </c>
      <c r="U142" s="75">
        <f t="shared" si="70"/>
        <v>13.799999999999999</v>
      </c>
      <c r="V142" s="75">
        <f t="shared" si="71"/>
        <v>23</v>
      </c>
      <c r="W142" s="140"/>
      <c r="X142" s="75">
        <f t="shared" si="55"/>
        <v>0</v>
      </c>
      <c r="Y142" s="75">
        <f t="shared" si="56"/>
        <v>0</v>
      </c>
      <c r="Z142" s="75">
        <f t="shared" si="57"/>
        <v>0</v>
      </c>
      <c r="AA142" s="75">
        <f t="shared" si="58"/>
        <v>0</v>
      </c>
      <c r="AB142" s="75">
        <f t="shared" si="59"/>
        <v>0</v>
      </c>
      <c r="AC142" s="75">
        <f t="shared" si="60"/>
        <v>23</v>
      </c>
      <c r="AD142" s="75">
        <f t="shared" si="61"/>
        <v>23</v>
      </c>
      <c r="AE142" s="300"/>
      <c r="AF142" s="155"/>
      <c r="AG142" s="155"/>
      <c r="AH142" s="155"/>
      <c r="AI142" s="155"/>
      <c r="AJ142" s="155"/>
      <c r="AK142" s="155"/>
      <c r="AL142" s="155"/>
      <c r="AM142" s="155"/>
      <c r="AN142" s="155"/>
      <c r="AO142" s="155"/>
      <c r="AP142" s="155"/>
      <c r="AQ142" s="155"/>
      <c r="AR142" s="155"/>
      <c r="AS142" s="155"/>
      <c r="AT142" s="155"/>
      <c r="AU142" s="155"/>
      <c r="AV142" s="155"/>
      <c r="AW142" s="155"/>
      <c r="AX142" s="155"/>
      <c r="AY142" s="155"/>
      <c r="AZ142" s="155"/>
      <c r="BA142" s="155"/>
      <c r="BB142" s="155"/>
      <c r="BC142" s="155"/>
      <c r="BD142" s="155"/>
    </row>
    <row r="143" spans="1:56" s="90" customFormat="1" ht="92.25" customHeight="1" x14ac:dyDescent="0.25">
      <c r="A143" s="300"/>
      <c r="B143" s="285"/>
      <c r="C143" s="86"/>
      <c r="D143" s="110" t="s">
        <v>276</v>
      </c>
      <c r="E143" s="88"/>
      <c r="F143" s="87" t="s">
        <v>277</v>
      </c>
      <c r="G143" s="88">
        <v>5</v>
      </c>
      <c r="H143" s="87" t="s">
        <v>278</v>
      </c>
      <c r="I143" s="89" t="s">
        <v>289</v>
      </c>
      <c r="J143" s="75"/>
      <c r="K143" s="75"/>
      <c r="L143" s="75"/>
      <c r="M143" s="75"/>
      <c r="N143" s="75"/>
      <c r="O143" s="75">
        <v>1</v>
      </c>
      <c r="P143" s="145"/>
      <c r="Q143" s="75">
        <v>0</v>
      </c>
      <c r="R143" s="75">
        <f t="shared" si="67"/>
        <v>2.3000000000000003</v>
      </c>
      <c r="S143" s="75">
        <f t="shared" si="68"/>
        <v>4.6000000000000005</v>
      </c>
      <c r="T143" s="75">
        <f t="shared" si="69"/>
        <v>6.8999999999999995</v>
      </c>
      <c r="U143" s="75">
        <f t="shared" si="70"/>
        <v>13.799999999999999</v>
      </c>
      <c r="V143" s="75">
        <f t="shared" si="71"/>
        <v>23</v>
      </c>
      <c r="W143" s="140"/>
      <c r="X143" s="75">
        <f t="shared" si="55"/>
        <v>0</v>
      </c>
      <c r="Y143" s="75">
        <f t="shared" si="56"/>
        <v>0</v>
      </c>
      <c r="Z143" s="75">
        <f t="shared" si="57"/>
        <v>0</v>
      </c>
      <c r="AA143" s="75">
        <f t="shared" si="58"/>
        <v>0</v>
      </c>
      <c r="AB143" s="75">
        <f t="shared" si="59"/>
        <v>0</v>
      </c>
      <c r="AC143" s="75">
        <f t="shared" si="60"/>
        <v>23</v>
      </c>
      <c r="AD143" s="75">
        <f t="shared" si="61"/>
        <v>23</v>
      </c>
      <c r="AE143" s="300"/>
      <c r="AF143" s="155"/>
      <c r="AG143" s="155"/>
      <c r="AH143" s="155"/>
      <c r="AI143" s="155"/>
      <c r="AJ143" s="155"/>
      <c r="AK143" s="155"/>
      <c r="AL143" s="155"/>
      <c r="AM143" s="155"/>
      <c r="AN143" s="155"/>
      <c r="AO143" s="155"/>
      <c r="AP143" s="155"/>
      <c r="AQ143" s="155"/>
      <c r="AR143" s="155"/>
      <c r="AS143" s="155"/>
      <c r="AT143" s="155"/>
      <c r="AU143" s="155"/>
      <c r="AV143" s="155"/>
      <c r="AW143" s="155"/>
      <c r="AX143" s="155"/>
      <c r="AY143" s="155"/>
      <c r="AZ143" s="155"/>
      <c r="BA143" s="155"/>
      <c r="BB143" s="155"/>
      <c r="BC143" s="155"/>
      <c r="BD143" s="155"/>
    </row>
    <row r="144" spans="1:56" s="90" customFormat="1" ht="92.25" customHeight="1" x14ac:dyDescent="0.25">
      <c r="A144" s="300"/>
      <c r="B144" s="285"/>
      <c r="C144" s="86"/>
      <c r="D144" s="110" t="s">
        <v>279</v>
      </c>
      <c r="E144" s="88"/>
      <c r="F144" s="87" t="s">
        <v>280</v>
      </c>
      <c r="G144" s="88">
        <v>6</v>
      </c>
      <c r="H144" s="87" t="s">
        <v>281</v>
      </c>
      <c r="I144" s="89" t="s">
        <v>289</v>
      </c>
      <c r="J144" s="75"/>
      <c r="K144" s="75"/>
      <c r="L144" s="75"/>
      <c r="M144" s="75"/>
      <c r="N144" s="75"/>
      <c r="O144" s="75">
        <v>1</v>
      </c>
      <c r="P144" s="145"/>
      <c r="Q144" s="75">
        <v>0</v>
      </c>
      <c r="R144" s="75">
        <f t="shared" si="67"/>
        <v>2.3000000000000003</v>
      </c>
      <c r="S144" s="75">
        <f t="shared" si="68"/>
        <v>4.6000000000000005</v>
      </c>
      <c r="T144" s="75">
        <f t="shared" si="69"/>
        <v>6.8999999999999995</v>
      </c>
      <c r="U144" s="75">
        <f t="shared" si="70"/>
        <v>13.799999999999999</v>
      </c>
      <c r="V144" s="75">
        <f t="shared" si="71"/>
        <v>23</v>
      </c>
      <c r="W144" s="140"/>
      <c r="X144" s="75">
        <f t="shared" si="55"/>
        <v>0</v>
      </c>
      <c r="Y144" s="75">
        <f t="shared" si="56"/>
        <v>0</v>
      </c>
      <c r="Z144" s="75">
        <f t="shared" si="57"/>
        <v>0</v>
      </c>
      <c r="AA144" s="75">
        <f t="shared" si="58"/>
        <v>0</v>
      </c>
      <c r="AB144" s="75">
        <f t="shared" si="59"/>
        <v>0</v>
      </c>
      <c r="AC144" s="75">
        <f t="shared" si="60"/>
        <v>23</v>
      </c>
      <c r="AD144" s="75">
        <f t="shared" si="61"/>
        <v>23</v>
      </c>
      <c r="AE144" s="300"/>
      <c r="AF144" s="155"/>
      <c r="AG144" s="155"/>
      <c r="AH144" s="155"/>
      <c r="AI144" s="155"/>
      <c r="AJ144" s="155"/>
      <c r="AK144" s="155"/>
      <c r="AL144" s="155"/>
      <c r="AM144" s="155"/>
      <c r="AN144" s="155"/>
      <c r="AO144" s="155"/>
      <c r="AP144" s="155"/>
      <c r="AQ144" s="155"/>
      <c r="AR144" s="155"/>
      <c r="AS144" s="155"/>
      <c r="AT144" s="155"/>
      <c r="AU144" s="155"/>
      <c r="AV144" s="155"/>
      <c r="AW144" s="155"/>
      <c r="AX144" s="155"/>
      <c r="AY144" s="155"/>
      <c r="AZ144" s="155"/>
      <c r="BA144" s="155"/>
      <c r="BB144" s="155"/>
      <c r="BC144" s="155"/>
      <c r="BD144" s="155"/>
    </row>
    <row r="145" spans="1:87" s="90" customFormat="1" ht="92.25" customHeight="1" x14ac:dyDescent="0.25">
      <c r="A145" s="301"/>
      <c r="B145" s="286"/>
      <c r="C145" s="135"/>
      <c r="D145" s="110" t="s">
        <v>371</v>
      </c>
      <c r="E145" s="136"/>
      <c r="F145" s="87" t="s">
        <v>394</v>
      </c>
      <c r="G145" s="88">
        <v>7</v>
      </c>
      <c r="H145" s="87" t="s">
        <v>395</v>
      </c>
      <c r="I145" s="89"/>
      <c r="J145" s="75"/>
      <c r="K145" s="75"/>
      <c r="L145" s="75"/>
      <c r="M145" s="75"/>
      <c r="N145" s="75"/>
      <c r="O145" s="75">
        <v>1</v>
      </c>
      <c r="P145" s="145"/>
      <c r="Q145" s="75">
        <v>0</v>
      </c>
      <c r="R145" s="75">
        <f t="shared" si="67"/>
        <v>2.3000000000000003</v>
      </c>
      <c r="S145" s="75">
        <f t="shared" si="68"/>
        <v>4.6000000000000005</v>
      </c>
      <c r="T145" s="75">
        <f t="shared" si="69"/>
        <v>6.8999999999999995</v>
      </c>
      <c r="U145" s="75">
        <f t="shared" si="70"/>
        <v>13.799999999999999</v>
      </c>
      <c r="V145" s="75">
        <f t="shared" si="71"/>
        <v>23</v>
      </c>
      <c r="W145" s="140"/>
      <c r="X145" s="75">
        <f t="shared" si="55"/>
        <v>0</v>
      </c>
      <c r="Y145" s="75">
        <f t="shared" si="56"/>
        <v>0</v>
      </c>
      <c r="Z145" s="75">
        <f t="shared" si="57"/>
        <v>0</v>
      </c>
      <c r="AA145" s="75">
        <f t="shared" si="58"/>
        <v>0</v>
      </c>
      <c r="AB145" s="75">
        <f t="shared" si="59"/>
        <v>0</v>
      </c>
      <c r="AC145" s="75">
        <f t="shared" si="60"/>
        <v>23</v>
      </c>
      <c r="AD145" s="75">
        <f t="shared" si="61"/>
        <v>23</v>
      </c>
      <c r="AE145" s="301"/>
      <c r="AF145" s="155"/>
      <c r="AG145" s="155"/>
      <c r="AH145" s="155"/>
      <c r="AI145" s="155"/>
      <c r="AJ145" s="155"/>
      <c r="AK145" s="155"/>
      <c r="AL145" s="155"/>
      <c r="AM145" s="155"/>
      <c r="AN145" s="155"/>
      <c r="AO145" s="155"/>
      <c r="AP145" s="155"/>
      <c r="AQ145" s="155"/>
      <c r="AR145" s="155"/>
      <c r="AS145" s="155"/>
      <c r="AT145" s="155"/>
      <c r="AU145" s="155"/>
      <c r="AV145" s="155"/>
      <c r="AW145" s="155"/>
      <c r="AX145" s="155"/>
      <c r="AY145" s="155"/>
      <c r="AZ145" s="155"/>
      <c r="BA145" s="155"/>
      <c r="BB145" s="155"/>
      <c r="BC145" s="155"/>
      <c r="BD145" s="155"/>
    </row>
    <row r="146" spans="1:87" s="90" customFormat="1" ht="92.25" customHeight="1" x14ac:dyDescent="0.25">
      <c r="A146" s="299">
        <v>13</v>
      </c>
      <c r="B146" s="284" t="s">
        <v>396</v>
      </c>
      <c r="C146" s="135"/>
      <c r="D146" s="110" t="s">
        <v>396</v>
      </c>
      <c r="E146" s="136"/>
      <c r="F146" s="87" t="s">
        <v>397</v>
      </c>
      <c r="G146" s="88">
        <v>1</v>
      </c>
      <c r="H146" s="87" t="s">
        <v>417</v>
      </c>
      <c r="I146" s="89"/>
      <c r="J146" s="75"/>
      <c r="K146" s="75"/>
      <c r="L146" s="75"/>
      <c r="M146" s="75"/>
      <c r="N146" s="75"/>
      <c r="O146" s="75">
        <v>1</v>
      </c>
      <c r="P146" s="145"/>
      <c r="Q146" s="75">
        <v>0</v>
      </c>
      <c r="R146" s="75">
        <f>25*0.1</f>
        <v>2.5</v>
      </c>
      <c r="S146" s="75">
        <f>25*0.2</f>
        <v>5</v>
      </c>
      <c r="T146" s="75">
        <f>25*0.3</f>
        <v>7.5</v>
      </c>
      <c r="U146" s="75">
        <f>25*0.6</f>
        <v>15</v>
      </c>
      <c r="V146" s="75">
        <f>25*1</f>
        <v>25</v>
      </c>
      <c r="W146" s="140"/>
      <c r="X146" s="75">
        <f t="shared" si="55"/>
        <v>0</v>
      </c>
      <c r="Y146" s="75">
        <f t="shared" si="56"/>
        <v>0</v>
      </c>
      <c r="Z146" s="75">
        <f t="shared" si="57"/>
        <v>0</v>
      </c>
      <c r="AA146" s="75">
        <f t="shared" si="58"/>
        <v>0</v>
      </c>
      <c r="AB146" s="75">
        <f t="shared" si="59"/>
        <v>0</v>
      </c>
      <c r="AC146" s="75">
        <f t="shared" si="60"/>
        <v>25</v>
      </c>
      <c r="AD146" s="75">
        <f t="shared" si="61"/>
        <v>25</v>
      </c>
      <c r="AE146" s="299">
        <f>+SUM(AD146:AD153)</f>
        <v>200</v>
      </c>
      <c r="AF146" s="155"/>
      <c r="AG146" s="155"/>
      <c r="AH146" s="155"/>
      <c r="AI146" s="155"/>
      <c r="AJ146" s="155"/>
      <c r="AK146" s="155"/>
      <c r="AL146" s="155"/>
      <c r="AM146" s="155"/>
      <c r="AN146" s="155"/>
      <c r="AO146" s="155"/>
      <c r="AP146" s="155"/>
      <c r="AQ146" s="155"/>
      <c r="AR146" s="155"/>
      <c r="AS146" s="155"/>
      <c r="AT146" s="155"/>
      <c r="AU146" s="155"/>
      <c r="AV146" s="155"/>
      <c r="AW146" s="155"/>
      <c r="AX146" s="155"/>
      <c r="AY146" s="155"/>
      <c r="AZ146" s="155"/>
      <c r="BA146" s="155"/>
      <c r="BB146" s="155"/>
      <c r="BC146" s="155"/>
      <c r="BD146" s="155"/>
    </row>
    <row r="147" spans="1:87" s="90" customFormat="1" ht="92.25" customHeight="1" x14ac:dyDescent="0.25">
      <c r="A147" s="300"/>
      <c r="B147" s="285"/>
      <c r="C147" s="135"/>
      <c r="D147" s="110"/>
      <c r="E147" s="136"/>
      <c r="F147" s="87" t="s">
        <v>398</v>
      </c>
      <c r="G147" s="88">
        <v>2</v>
      </c>
      <c r="H147" s="87" t="s">
        <v>418</v>
      </c>
      <c r="I147" s="89"/>
      <c r="J147" s="75"/>
      <c r="K147" s="75"/>
      <c r="L147" s="75"/>
      <c r="M147" s="75"/>
      <c r="N147" s="75"/>
      <c r="O147" s="75">
        <v>1</v>
      </c>
      <c r="P147" s="145"/>
      <c r="Q147" s="75">
        <v>0</v>
      </c>
      <c r="R147" s="75">
        <f t="shared" ref="R147:R153" si="72">25*0.1</f>
        <v>2.5</v>
      </c>
      <c r="S147" s="75">
        <f t="shared" ref="S147:S153" si="73">25*0.2</f>
        <v>5</v>
      </c>
      <c r="T147" s="75">
        <f t="shared" ref="T147:T153" si="74">25*0.3</f>
        <v>7.5</v>
      </c>
      <c r="U147" s="75">
        <f t="shared" ref="U147:U153" si="75">25*0.6</f>
        <v>15</v>
      </c>
      <c r="V147" s="75">
        <f t="shared" ref="V147:V153" si="76">25*1</f>
        <v>25</v>
      </c>
      <c r="W147" s="140"/>
      <c r="X147" s="75">
        <f t="shared" si="55"/>
        <v>0</v>
      </c>
      <c r="Y147" s="75">
        <f t="shared" si="56"/>
        <v>0</v>
      </c>
      <c r="Z147" s="75">
        <f t="shared" si="57"/>
        <v>0</v>
      </c>
      <c r="AA147" s="75">
        <f t="shared" si="58"/>
        <v>0</v>
      </c>
      <c r="AB147" s="75">
        <f t="shared" si="59"/>
        <v>0</v>
      </c>
      <c r="AC147" s="75">
        <f t="shared" si="60"/>
        <v>25</v>
      </c>
      <c r="AD147" s="75">
        <f t="shared" si="61"/>
        <v>25</v>
      </c>
      <c r="AE147" s="300"/>
      <c r="AF147" s="155"/>
      <c r="AG147" s="155"/>
      <c r="AH147" s="155"/>
      <c r="AI147" s="155"/>
      <c r="AJ147" s="155"/>
      <c r="AK147" s="155"/>
      <c r="AL147" s="155"/>
      <c r="AM147" s="155"/>
      <c r="AN147" s="155"/>
      <c r="AO147" s="155"/>
      <c r="AP147" s="155"/>
      <c r="AQ147" s="155"/>
      <c r="AR147" s="155"/>
      <c r="AS147" s="155"/>
      <c r="AT147" s="155"/>
      <c r="AU147" s="155"/>
      <c r="AV147" s="155"/>
      <c r="AW147" s="155"/>
      <c r="AX147" s="155"/>
      <c r="AY147" s="155"/>
      <c r="AZ147" s="155"/>
      <c r="BA147" s="155"/>
      <c r="BB147" s="155"/>
      <c r="BC147" s="155"/>
      <c r="BD147" s="155"/>
    </row>
    <row r="148" spans="1:87" s="90" customFormat="1" ht="92.25" customHeight="1" x14ac:dyDescent="0.25">
      <c r="A148" s="300"/>
      <c r="B148" s="285"/>
      <c r="C148" s="135"/>
      <c r="D148" s="110"/>
      <c r="E148" s="136"/>
      <c r="F148" s="281" t="s">
        <v>402</v>
      </c>
      <c r="G148" s="88">
        <v>3</v>
      </c>
      <c r="H148" s="87" t="s">
        <v>407</v>
      </c>
      <c r="I148" s="281" t="s">
        <v>325</v>
      </c>
      <c r="J148" s="75"/>
      <c r="K148" s="75"/>
      <c r="L148" s="75"/>
      <c r="M148" s="75"/>
      <c r="N148" s="75"/>
      <c r="O148" s="75">
        <v>1</v>
      </c>
      <c r="P148" s="145"/>
      <c r="Q148" s="75">
        <v>0</v>
      </c>
      <c r="R148" s="75">
        <f t="shared" si="72"/>
        <v>2.5</v>
      </c>
      <c r="S148" s="75">
        <f t="shared" si="73"/>
        <v>5</v>
      </c>
      <c r="T148" s="75">
        <f t="shared" si="74"/>
        <v>7.5</v>
      </c>
      <c r="U148" s="75">
        <f t="shared" si="75"/>
        <v>15</v>
      </c>
      <c r="V148" s="75">
        <f t="shared" si="76"/>
        <v>25</v>
      </c>
      <c r="W148" s="140"/>
      <c r="X148" s="75">
        <f t="shared" si="55"/>
        <v>0</v>
      </c>
      <c r="Y148" s="75">
        <f t="shared" si="56"/>
        <v>0</v>
      </c>
      <c r="Z148" s="75">
        <f t="shared" si="57"/>
        <v>0</v>
      </c>
      <c r="AA148" s="75">
        <f t="shared" si="58"/>
        <v>0</v>
      </c>
      <c r="AB148" s="75">
        <f t="shared" si="59"/>
        <v>0</v>
      </c>
      <c r="AC148" s="75">
        <f t="shared" si="60"/>
        <v>25</v>
      </c>
      <c r="AD148" s="75">
        <f t="shared" si="61"/>
        <v>25</v>
      </c>
      <c r="AE148" s="300"/>
      <c r="AF148" s="155"/>
      <c r="AG148" s="155"/>
      <c r="AH148" s="155"/>
      <c r="AI148" s="155"/>
      <c r="AJ148" s="155"/>
      <c r="AK148" s="155"/>
      <c r="AL148" s="155"/>
      <c r="AM148" s="155"/>
      <c r="AN148" s="155"/>
      <c r="AO148" s="155"/>
      <c r="AP148" s="155"/>
      <c r="AQ148" s="155"/>
      <c r="AR148" s="155"/>
      <c r="AS148" s="155"/>
      <c r="AT148" s="155"/>
      <c r="AU148" s="155"/>
      <c r="AV148" s="155"/>
      <c r="AW148" s="155"/>
      <c r="AX148" s="155"/>
      <c r="AY148" s="155"/>
      <c r="AZ148" s="155"/>
      <c r="BA148" s="155"/>
      <c r="BB148" s="155"/>
      <c r="BC148" s="155"/>
      <c r="BD148" s="155"/>
    </row>
    <row r="149" spans="1:87" s="90" customFormat="1" ht="92.25" customHeight="1" x14ac:dyDescent="0.25">
      <c r="A149" s="300"/>
      <c r="B149" s="285"/>
      <c r="C149" s="135"/>
      <c r="D149" s="110"/>
      <c r="E149" s="136"/>
      <c r="F149" s="283"/>
      <c r="G149" s="88">
        <v>4</v>
      </c>
      <c r="H149" s="87" t="s">
        <v>408</v>
      </c>
      <c r="I149" s="282"/>
      <c r="J149" s="75"/>
      <c r="K149" s="75"/>
      <c r="L149" s="75"/>
      <c r="M149" s="75"/>
      <c r="N149" s="75"/>
      <c r="O149" s="75">
        <v>1</v>
      </c>
      <c r="P149" s="145"/>
      <c r="Q149" s="75">
        <v>0</v>
      </c>
      <c r="R149" s="75">
        <f t="shared" si="72"/>
        <v>2.5</v>
      </c>
      <c r="S149" s="75">
        <f t="shared" si="73"/>
        <v>5</v>
      </c>
      <c r="T149" s="75">
        <f t="shared" si="74"/>
        <v>7.5</v>
      </c>
      <c r="U149" s="75">
        <f t="shared" si="75"/>
        <v>15</v>
      </c>
      <c r="V149" s="75">
        <f t="shared" si="76"/>
        <v>25</v>
      </c>
      <c r="W149" s="140"/>
      <c r="X149" s="75">
        <f t="shared" si="55"/>
        <v>0</v>
      </c>
      <c r="Y149" s="75">
        <f t="shared" si="56"/>
        <v>0</v>
      </c>
      <c r="Z149" s="75">
        <f t="shared" si="57"/>
        <v>0</v>
      </c>
      <c r="AA149" s="75">
        <f t="shared" si="58"/>
        <v>0</v>
      </c>
      <c r="AB149" s="75">
        <f t="shared" si="59"/>
        <v>0</v>
      </c>
      <c r="AC149" s="75">
        <f t="shared" si="60"/>
        <v>25</v>
      </c>
      <c r="AD149" s="75">
        <f t="shared" si="61"/>
        <v>25</v>
      </c>
      <c r="AE149" s="300"/>
      <c r="AF149" s="155"/>
      <c r="AG149" s="155"/>
      <c r="AH149" s="155"/>
      <c r="AI149" s="155"/>
      <c r="AJ149" s="155"/>
      <c r="AK149" s="155"/>
      <c r="AL149" s="155"/>
      <c r="AM149" s="155"/>
      <c r="AN149" s="155"/>
      <c r="AO149" s="155"/>
      <c r="AP149" s="155"/>
      <c r="AQ149" s="155"/>
      <c r="AR149" s="155"/>
      <c r="AS149" s="155"/>
      <c r="AT149" s="155"/>
      <c r="AU149" s="155"/>
      <c r="AV149" s="155"/>
      <c r="AW149" s="155"/>
      <c r="AX149" s="155"/>
      <c r="AY149" s="155"/>
      <c r="AZ149" s="155"/>
      <c r="BA149" s="155"/>
      <c r="BB149" s="155"/>
      <c r="BC149" s="155"/>
      <c r="BD149" s="155"/>
    </row>
    <row r="150" spans="1:87" s="90" customFormat="1" ht="97.5" customHeight="1" x14ac:dyDescent="0.25">
      <c r="A150" s="300"/>
      <c r="B150" s="285"/>
      <c r="C150" s="135"/>
      <c r="D150" s="110"/>
      <c r="E150" s="136"/>
      <c r="F150" s="87" t="s">
        <v>403</v>
      </c>
      <c r="G150" s="88">
        <v>5</v>
      </c>
      <c r="H150" s="87" t="s">
        <v>409</v>
      </c>
      <c r="I150" s="283"/>
      <c r="J150" s="75"/>
      <c r="K150" s="75"/>
      <c r="L150" s="75"/>
      <c r="M150" s="75"/>
      <c r="N150" s="75"/>
      <c r="O150" s="75">
        <v>1</v>
      </c>
      <c r="P150" s="145"/>
      <c r="Q150" s="75">
        <v>0</v>
      </c>
      <c r="R150" s="75">
        <f t="shared" si="72"/>
        <v>2.5</v>
      </c>
      <c r="S150" s="75">
        <f t="shared" si="73"/>
        <v>5</v>
      </c>
      <c r="T150" s="75">
        <f t="shared" si="74"/>
        <v>7.5</v>
      </c>
      <c r="U150" s="75">
        <f t="shared" si="75"/>
        <v>15</v>
      </c>
      <c r="V150" s="75">
        <f t="shared" si="76"/>
        <v>25</v>
      </c>
      <c r="W150" s="140"/>
      <c r="X150" s="75">
        <f t="shared" si="55"/>
        <v>0</v>
      </c>
      <c r="Y150" s="75">
        <f t="shared" si="56"/>
        <v>0</v>
      </c>
      <c r="Z150" s="75">
        <f t="shared" si="57"/>
        <v>0</v>
      </c>
      <c r="AA150" s="75">
        <f t="shared" si="58"/>
        <v>0</v>
      </c>
      <c r="AB150" s="75">
        <f t="shared" si="59"/>
        <v>0</v>
      </c>
      <c r="AC150" s="75">
        <f t="shared" si="60"/>
        <v>25</v>
      </c>
      <c r="AD150" s="75">
        <f t="shared" si="61"/>
        <v>25</v>
      </c>
      <c r="AE150" s="300"/>
      <c r="AF150" s="155"/>
      <c r="AG150" s="155"/>
      <c r="AH150" s="155"/>
      <c r="AI150" s="155"/>
      <c r="AJ150" s="155"/>
      <c r="AK150" s="155"/>
      <c r="AL150" s="155"/>
      <c r="AM150" s="155"/>
      <c r="AN150" s="155"/>
      <c r="AO150" s="155"/>
      <c r="AP150" s="155"/>
      <c r="AQ150" s="155"/>
      <c r="AR150" s="155"/>
      <c r="AS150" s="155"/>
      <c r="AT150" s="155"/>
      <c r="AU150" s="155"/>
      <c r="AV150" s="155"/>
      <c r="AW150" s="155"/>
      <c r="AX150" s="155"/>
      <c r="AY150" s="155"/>
      <c r="AZ150" s="155"/>
      <c r="BA150" s="155"/>
      <c r="BB150" s="155"/>
      <c r="BC150" s="155"/>
      <c r="BD150" s="155"/>
    </row>
    <row r="151" spans="1:87" s="90" customFormat="1" ht="92.25" customHeight="1" x14ac:dyDescent="0.25">
      <c r="A151" s="300"/>
      <c r="B151" s="285"/>
      <c r="C151" s="135"/>
      <c r="D151" s="110"/>
      <c r="E151" s="136"/>
      <c r="F151" s="87" t="s">
        <v>399</v>
      </c>
      <c r="G151" s="88">
        <v>6</v>
      </c>
      <c r="H151" s="87" t="s">
        <v>410</v>
      </c>
      <c r="I151" s="89"/>
      <c r="J151" s="75"/>
      <c r="K151" s="75"/>
      <c r="L151" s="75"/>
      <c r="M151" s="75"/>
      <c r="N151" s="75"/>
      <c r="O151" s="75">
        <v>1</v>
      </c>
      <c r="P151" s="145"/>
      <c r="Q151" s="75">
        <v>0</v>
      </c>
      <c r="R151" s="75">
        <f t="shared" si="72"/>
        <v>2.5</v>
      </c>
      <c r="S151" s="75">
        <f t="shared" si="73"/>
        <v>5</v>
      </c>
      <c r="T151" s="75">
        <f t="shared" si="74"/>
        <v>7.5</v>
      </c>
      <c r="U151" s="75">
        <f t="shared" si="75"/>
        <v>15</v>
      </c>
      <c r="V151" s="75">
        <f t="shared" si="76"/>
        <v>25</v>
      </c>
      <c r="W151" s="140"/>
      <c r="X151" s="75">
        <f t="shared" si="55"/>
        <v>0</v>
      </c>
      <c r="Y151" s="75">
        <f t="shared" si="56"/>
        <v>0</v>
      </c>
      <c r="Z151" s="75">
        <f t="shared" si="57"/>
        <v>0</v>
      </c>
      <c r="AA151" s="75">
        <f t="shared" si="58"/>
        <v>0</v>
      </c>
      <c r="AB151" s="75">
        <f t="shared" si="59"/>
        <v>0</v>
      </c>
      <c r="AC151" s="75">
        <f t="shared" si="60"/>
        <v>25</v>
      </c>
      <c r="AD151" s="75">
        <f t="shared" si="61"/>
        <v>25</v>
      </c>
      <c r="AE151" s="300"/>
      <c r="AF151" s="155"/>
      <c r="AG151" s="155"/>
      <c r="AH151" s="155"/>
      <c r="AI151" s="155"/>
      <c r="AJ151" s="155"/>
      <c r="AK151" s="155"/>
      <c r="AL151" s="155"/>
      <c r="AM151" s="155"/>
      <c r="AN151" s="155"/>
      <c r="AO151" s="155"/>
      <c r="AP151" s="155"/>
      <c r="AQ151" s="155"/>
      <c r="AR151" s="155"/>
      <c r="AS151" s="155"/>
      <c r="AT151" s="155"/>
      <c r="AU151" s="155"/>
      <c r="AV151" s="155"/>
      <c r="AW151" s="155"/>
      <c r="AX151" s="155"/>
      <c r="AY151" s="155"/>
      <c r="AZ151" s="155"/>
      <c r="BA151" s="155"/>
      <c r="BB151" s="155"/>
      <c r="BC151" s="155"/>
      <c r="BD151" s="155"/>
    </row>
    <row r="152" spans="1:87" s="90" customFormat="1" ht="110.25" customHeight="1" x14ac:dyDescent="0.25">
      <c r="A152" s="300"/>
      <c r="B152" s="285"/>
      <c r="C152" s="135"/>
      <c r="D152" s="110"/>
      <c r="E152" s="136"/>
      <c r="F152" s="87" t="s">
        <v>400</v>
      </c>
      <c r="G152" s="88">
        <v>7</v>
      </c>
      <c r="H152" s="87" t="s">
        <v>411</v>
      </c>
      <c r="I152" s="89"/>
      <c r="J152" s="75"/>
      <c r="K152" s="75"/>
      <c r="L152" s="75"/>
      <c r="M152" s="75"/>
      <c r="N152" s="75"/>
      <c r="O152" s="75">
        <v>1</v>
      </c>
      <c r="P152" s="145"/>
      <c r="Q152" s="75">
        <v>0</v>
      </c>
      <c r="R152" s="75">
        <f t="shared" si="72"/>
        <v>2.5</v>
      </c>
      <c r="S152" s="75">
        <f t="shared" si="73"/>
        <v>5</v>
      </c>
      <c r="T152" s="75">
        <f t="shared" si="74"/>
        <v>7.5</v>
      </c>
      <c r="U152" s="75">
        <f t="shared" si="75"/>
        <v>15</v>
      </c>
      <c r="V152" s="75">
        <f t="shared" si="76"/>
        <v>25</v>
      </c>
      <c r="W152" s="140"/>
      <c r="X152" s="75">
        <f t="shared" si="55"/>
        <v>0</v>
      </c>
      <c r="Y152" s="75">
        <f t="shared" si="56"/>
        <v>0</v>
      </c>
      <c r="Z152" s="75">
        <f t="shared" si="57"/>
        <v>0</v>
      </c>
      <c r="AA152" s="75">
        <f t="shared" si="58"/>
        <v>0</v>
      </c>
      <c r="AB152" s="75">
        <f t="shared" si="59"/>
        <v>0</v>
      </c>
      <c r="AC152" s="75">
        <f t="shared" si="60"/>
        <v>25</v>
      </c>
      <c r="AD152" s="75">
        <f t="shared" si="61"/>
        <v>25</v>
      </c>
      <c r="AE152" s="300"/>
      <c r="AF152" s="155"/>
      <c r="AG152" s="155"/>
      <c r="AH152" s="155"/>
      <c r="AI152" s="155"/>
      <c r="AJ152" s="155"/>
      <c r="AK152" s="155"/>
      <c r="AL152" s="155"/>
      <c r="AM152" s="155"/>
      <c r="AN152" s="155"/>
      <c r="AO152" s="155"/>
      <c r="AP152" s="155"/>
      <c r="AQ152" s="155"/>
      <c r="AR152" s="155"/>
      <c r="AS152" s="155"/>
      <c r="AT152" s="155"/>
      <c r="AU152" s="155"/>
      <c r="AV152" s="155"/>
      <c r="AW152" s="155"/>
      <c r="AX152" s="155"/>
      <c r="AY152" s="155"/>
      <c r="AZ152" s="155"/>
      <c r="BA152" s="155"/>
      <c r="BB152" s="155"/>
      <c r="BC152" s="155"/>
      <c r="BD152" s="155"/>
    </row>
    <row r="153" spans="1:87" s="90" customFormat="1" ht="102" customHeight="1" x14ac:dyDescent="0.25">
      <c r="A153" s="301"/>
      <c r="B153" s="286"/>
      <c r="C153" s="135"/>
      <c r="D153" s="110"/>
      <c r="E153" s="136"/>
      <c r="F153" s="87" t="s">
        <v>401</v>
      </c>
      <c r="G153" s="88">
        <v>8</v>
      </c>
      <c r="H153" s="87" t="s">
        <v>412</v>
      </c>
      <c r="I153" s="89"/>
      <c r="J153" s="75"/>
      <c r="K153" s="75"/>
      <c r="L153" s="75"/>
      <c r="M153" s="75"/>
      <c r="N153" s="75"/>
      <c r="O153" s="75">
        <v>1</v>
      </c>
      <c r="P153" s="145"/>
      <c r="Q153" s="75">
        <v>0</v>
      </c>
      <c r="R153" s="75">
        <f t="shared" si="72"/>
        <v>2.5</v>
      </c>
      <c r="S153" s="75">
        <f t="shared" si="73"/>
        <v>5</v>
      </c>
      <c r="T153" s="75">
        <f t="shared" si="74"/>
        <v>7.5</v>
      </c>
      <c r="U153" s="75">
        <f t="shared" si="75"/>
        <v>15</v>
      </c>
      <c r="V153" s="75">
        <f t="shared" si="76"/>
        <v>25</v>
      </c>
      <c r="W153" s="140"/>
      <c r="X153" s="75">
        <f t="shared" si="55"/>
        <v>0</v>
      </c>
      <c r="Y153" s="75">
        <f t="shared" si="56"/>
        <v>0</v>
      </c>
      <c r="Z153" s="75">
        <f t="shared" si="57"/>
        <v>0</v>
      </c>
      <c r="AA153" s="75">
        <f t="shared" si="58"/>
        <v>0</v>
      </c>
      <c r="AB153" s="75">
        <f t="shared" si="59"/>
        <v>0</v>
      </c>
      <c r="AC153" s="75">
        <f t="shared" si="60"/>
        <v>25</v>
      </c>
      <c r="AD153" s="75">
        <f t="shared" si="61"/>
        <v>25</v>
      </c>
      <c r="AE153" s="301"/>
      <c r="AF153" s="155"/>
      <c r="AG153" s="155"/>
      <c r="AH153" s="155"/>
      <c r="AI153" s="155"/>
      <c r="AJ153" s="155"/>
      <c r="AK153" s="155"/>
      <c r="AL153" s="155"/>
      <c r="AM153" s="155"/>
      <c r="AN153" s="155"/>
      <c r="AO153" s="155"/>
      <c r="AP153" s="155"/>
      <c r="AQ153" s="155"/>
      <c r="AR153" s="155"/>
      <c r="AS153" s="155"/>
      <c r="AT153" s="155"/>
      <c r="AU153" s="155"/>
      <c r="AV153" s="155"/>
      <c r="AW153" s="155"/>
      <c r="AX153" s="155"/>
      <c r="AY153" s="155"/>
      <c r="AZ153" s="155"/>
      <c r="BA153" s="155"/>
      <c r="BB153" s="155"/>
      <c r="BC153" s="155"/>
      <c r="BD153" s="155"/>
    </row>
    <row r="154" spans="1:87" s="90" customFormat="1" ht="26.25" customHeight="1" x14ac:dyDescent="0.25">
      <c r="A154" s="115" t="s">
        <v>22</v>
      </c>
      <c r="B154" s="115"/>
      <c r="C154" s="115"/>
      <c r="D154" s="115"/>
      <c r="E154" s="115"/>
      <c r="F154" s="115"/>
      <c r="G154" s="115"/>
      <c r="H154" s="115"/>
      <c r="I154" s="115"/>
      <c r="J154" s="115"/>
      <c r="K154" s="115"/>
      <c r="L154" s="115"/>
      <c r="M154" s="115"/>
      <c r="N154" s="115"/>
      <c r="O154" s="115"/>
      <c r="P154" s="141"/>
      <c r="Q154" s="115"/>
      <c r="R154" s="115"/>
      <c r="S154" s="115"/>
      <c r="T154" s="115"/>
      <c r="U154" s="115"/>
      <c r="V154" s="115"/>
      <c r="W154" s="141"/>
      <c r="X154" s="115">
        <f>+SUM(X5:X153)</f>
        <v>0</v>
      </c>
      <c r="Y154" s="115">
        <f t="shared" ref="Y154:AC154" si="77">+SUM(Y5:Y153)</f>
        <v>0</v>
      </c>
      <c r="Z154" s="115">
        <f t="shared" si="77"/>
        <v>0</v>
      </c>
      <c r="AA154" s="115">
        <f t="shared" si="77"/>
        <v>0</v>
      </c>
      <c r="AB154" s="115">
        <f t="shared" si="77"/>
        <v>0</v>
      </c>
      <c r="AC154" s="115">
        <f t="shared" si="77"/>
        <v>2000</v>
      </c>
      <c r="AD154" s="115"/>
      <c r="AE154" s="115">
        <f>+SUM(AE5:AE153)</f>
        <v>2000</v>
      </c>
      <c r="AF154" s="157"/>
      <c r="AG154" s="157"/>
      <c r="AH154" s="157"/>
      <c r="AI154" s="157"/>
      <c r="AJ154" s="157"/>
      <c r="AK154" s="157"/>
      <c r="AL154" s="157"/>
      <c r="AM154" s="157"/>
      <c r="AN154" s="157"/>
      <c r="AO154" s="157"/>
      <c r="AP154" s="157"/>
      <c r="AQ154" s="157"/>
      <c r="AR154" s="157"/>
      <c r="AS154" s="157"/>
      <c r="AT154" s="157"/>
      <c r="AU154" s="157"/>
      <c r="AV154" s="157"/>
      <c r="AW154" s="157"/>
      <c r="AX154" s="157"/>
      <c r="AY154" s="157"/>
      <c r="AZ154" s="157"/>
      <c r="BA154" s="157"/>
      <c r="BB154" s="157"/>
      <c r="BC154" s="157"/>
      <c r="BD154" s="157"/>
      <c r="BE154" s="137"/>
      <c r="BF154" s="137"/>
      <c r="BG154" s="137"/>
      <c r="BH154" s="138"/>
      <c r="BI154" s="138"/>
      <c r="BJ154" s="138"/>
      <c r="BK154" s="138"/>
      <c r="BL154" s="138"/>
      <c r="BM154" s="138"/>
      <c r="BN154" s="138"/>
      <c r="BO154" s="138"/>
      <c r="BP154" s="138"/>
      <c r="BQ154" s="138"/>
      <c r="BR154" s="138"/>
      <c r="BS154" s="138"/>
      <c r="BT154" s="138"/>
      <c r="BU154" s="138"/>
      <c r="BV154" s="138"/>
      <c r="BW154" s="138"/>
      <c r="BX154" s="138"/>
      <c r="BY154" s="138"/>
      <c r="BZ154" s="138"/>
      <c r="CA154" s="138"/>
      <c r="CB154" s="138"/>
      <c r="CC154" s="138"/>
      <c r="CD154" s="138"/>
      <c r="CE154" s="138"/>
      <c r="CF154" s="138"/>
      <c r="CG154" s="138"/>
      <c r="CH154" s="138"/>
      <c r="CI154" s="138"/>
    </row>
    <row r="156" spans="1:87" ht="15" x14ac:dyDescent="0.25">
      <c r="H156" s="62" t="s">
        <v>82</v>
      </c>
      <c r="I156" s="63" t="s">
        <v>81</v>
      </c>
    </row>
    <row r="157" spans="1:87" ht="15" x14ac:dyDescent="0.25">
      <c r="H157" s="62" t="s">
        <v>79</v>
      </c>
      <c r="I157" s="63" t="s">
        <v>80</v>
      </c>
    </row>
    <row r="158" spans="1:87" ht="15" x14ac:dyDescent="0.25">
      <c r="H158" s="62" t="s">
        <v>77</v>
      </c>
      <c r="I158" s="63" t="s">
        <v>78</v>
      </c>
    </row>
    <row r="159" spans="1:87" ht="15" x14ac:dyDescent="0.25">
      <c r="H159" s="62" t="s">
        <v>75</v>
      </c>
      <c r="I159" s="63" t="s">
        <v>76</v>
      </c>
    </row>
    <row r="160" spans="1:87" ht="15" x14ac:dyDescent="0.25">
      <c r="H160" s="62" t="s">
        <v>73</v>
      </c>
      <c r="I160" s="63" t="s">
        <v>74</v>
      </c>
    </row>
  </sheetData>
  <mergeCells count="46">
    <mergeCell ref="AE134:AE138"/>
    <mergeCell ref="AE139:AE145"/>
    <mergeCell ref="AE146:AE153"/>
    <mergeCell ref="AE99:AE109"/>
    <mergeCell ref="AE110:AE114"/>
    <mergeCell ref="AE115:AE117"/>
    <mergeCell ref="AE118:AE133"/>
    <mergeCell ref="AE5:AE42"/>
    <mergeCell ref="AE43:AE54"/>
    <mergeCell ref="AE55:AE71"/>
    <mergeCell ref="AE73:AE78"/>
    <mergeCell ref="AE79:AE98"/>
    <mergeCell ref="A146:A153"/>
    <mergeCell ref="A118:A133"/>
    <mergeCell ref="B134:B138"/>
    <mergeCell ref="A134:A138"/>
    <mergeCell ref="B139:B145"/>
    <mergeCell ref="A139:A145"/>
    <mergeCell ref="A115:A117"/>
    <mergeCell ref="A5:A42"/>
    <mergeCell ref="A43:A54"/>
    <mergeCell ref="A55:A71"/>
    <mergeCell ref="A73:A78"/>
    <mergeCell ref="A79:A98"/>
    <mergeCell ref="A99:A109"/>
    <mergeCell ref="A110:A114"/>
    <mergeCell ref="B5:B42"/>
    <mergeCell ref="B43:B54"/>
    <mergeCell ref="B55:B71"/>
    <mergeCell ref="B73:B78"/>
    <mergeCell ref="B79:B98"/>
    <mergeCell ref="I95:I97"/>
    <mergeCell ref="D131:D133"/>
    <mergeCell ref="D95:D98"/>
    <mergeCell ref="B146:B153"/>
    <mergeCell ref="F148:F149"/>
    <mergeCell ref="I148:I150"/>
    <mergeCell ref="B99:B109"/>
    <mergeCell ref="B110:B114"/>
    <mergeCell ref="B115:B117"/>
    <mergeCell ref="B118:B133"/>
    <mergeCell ref="C2:C3"/>
    <mergeCell ref="B2:B3"/>
    <mergeCell ref="A2:A3"/>
    <mergeCell ref="G2:G3"/>
    <mergeCell ref="A1:AE1"/>
  </mergeCells>
  <conditionalFormatting sqref="K138:N139 K92:N92 K95:N127 K5:O5 K6:N90">
    <cfRule type="cellIs" dxfId="11" priority="105" operator="equal">
      <formula>$V$5</formula>
    </cfRule>
  </conditionalFormatting>
  <conditionalFormatting sqref="K135:N137">
    <cfRule type="cellIs" dxfId="10" priority="89" operator="equal">
      <formula>$V$5</formula>
    </cfRule>
  </conditionalFormatting>
  <conditionalFormatting sqref="K135:K137">
    <cfRule type="colorScale" priority="88">
      <colorScale>
        <cfvo type="min"/>
        <cfvo type="percentile" val="50"/>
        <cfvo type="max"/>
        <color rgb="FFF8696B"/>
        <color rgb="FFFCFCFF"/>
        <color rgb="FF63BE7B"/>
      </colorScale>
    </cfRule>
  </conditionalFormatting>
  <conditionalFormatting sqref="L135:L137">
    <cfRule type="colorScale" priority="87">
      <colorScale>
        <cfvo type="min"/>
        <cfvo type="percentile" val="50"/>
        <cfvo type="max"/>
        <color rgb="FFF8696B"/>
        <color rgb="FFFCFCFF"/>
        <color rgb="FF63BE7B"/>
      </colorScale>
    </cfRule>
  </conditionalFormatting>
  <conditionalFormatting sqref="M135:M137">
    <cfRule type="colorScale" priority="86">
      <colorScale>
        <cfvo type="min"/>
        <cfvo type="percentile" val="50"/>
        <cfvo type="max"/>
        <color rgb="FFF8696B"/>
        <color rgb="FFFCFCFF"/>
        <color rgb="FF63BE7B"/>
      </colorScale>
    </cfRule>
  </conditionalFormatting>
  <conditionalFormatting sqref="N135:N137">
    <cfRule type="colorScale" priority="85">
      <colorScale>
        <cfvo type="min"/>
        <cfvo type="percentile" val="50"/>
        <cfvo type="max"/>
        <color rgb="FFF8696B"/>
        <color rgb="FFFCFCFF"/>
        <color rgb="FF63BE7B"/>
      </colorScale>
    </cfRule>
  </conditionalFormatting>
  <conditionalFormatting sqref="J135:J137">
    <cfRule type="colorScale" priority="83">
      <colorScale>
        <cfvo type="min"/>
        <cfvo type="percentile" val="50"/>
        <cfvo type="max"/>
        <color rgb="FFF8696B"/>
        <color rgb="FFFCFCFF"/>
        <color rgb="FF63BE7B"/>
      </colorScale>
    </cfRule>
  </conditionalFormatting>
  <conditionalFormatting sqref="K134:N134">
    <cfRule type="cellIs" dxfId="9" priority="82" operator="equal">
      <formula>$V$5</formula>
    </cfRule>
  </conditionalFormatting>
  <conditionalFormatting sqref="K134">
    <cfRule type="colorScale" priority="81">
      <colorScale>
        <cfvo type="min"/>
        <cfvo type="percentile" val="50"/>
        <cfvo type="max"/>
        <color rgb="FFF8696B"/>
        <color rgb="FFFCFCFF"/>
        <color rgb="FF63BE7B"/>
      </colorScale>
    </cfRule>
  </conditionalFormatting>
  <conditionalFormatting sqref="L134">
    <cfRule type="colorScale" priority="80">
      <colorScale>
        <cfvo type="min"/>
        <cfvo type="percentile" val="50"/>
        <cfvo type="max"/>
        <color rgb="FFF8696B"/>
        <color rgb="FFFCFCFF"/>
        <color rgb="FF63BE7B"/>
      </colorScale>
    </cfRule>
  </conditionalFormatting>
  <conditionalFormatting sqref="M134">
    <cfRule type="colorScale" priority="79">
      <colorScale>
        <cfvo type="min"/>
        <cfvo type="percentile" val="50"/>
        <cfvo type="max"/>
        <color rgb="FFF8696B"/>
        <color rgb="FFFCFCFF"/>
        <color rgb="FF63BE7B"/>
      </colorScale>
    </cfRule>
  </conditionalFormatting>
  <conditionalFormatting sqref="N134">
    <cfRule type="colorScale" priority="78">
      <colorScale>
        <cfvo type="min"/>
        <cfvo type="percentile" val="50"/>
        <cfvo type="max"/>
        <color rgb="FFF8696B"/>
        <color rgb="FFFCFCFF"/>
        <color rgb="FF63BE7B"/>
      </colorScale>
    </cfRule>
  </conditionalFormatting>
  <conditionalFormatting sqref="J134">
    <cfRule type="colorScale" priority="76">
      <colorScale>
        <cfvo type="min"/>
        <cfvo type="percentile" val="50"/>
        <cfvo type="max"/>
        <color rgb="FFF8696B"/>
        <color rgb="FFFCFCFF"/>
        <color rgb="FF63BE7B"/>
      </colorScale>
    </cfRule>
  </conditionalFormatting>
  <conditionalFormatting sqref="K128:N133">
    <cfRule type="cellIs" dxfId="8" priority="75" operator="equal">
      <formula>$V$5</formula>
    </cfRule>
  </conditionalFormatting>
  <conditionalFormatting sqref="K128:K133">
    <cfRule type="colorScale" priority="74">
      <colorScale>
        <cfvo type="min"/>
        <cfvo type="percentile" val="50"/>
        <cfvo type="max"/>
        <color rgb="FFF8696B"/>
        <color rgb="FFFCFCFF"/>
        <color rgb="FF63BE7B"/>
      </colorScale>
    </cfRule>
  </conditionalFormatting>
  <conditionalFormatting sqref="L128:L133">
    <cfRule type="colorScale" priority="73">
      <colorScale>
        <cfvo type="min"/>
        <cfvo type="percentile" val="50"/>
        <cfvo type="max"/>
        <color rgb="FFF8696B"/>
        <color rgb="FFFCFCFF"/>
        <color rgb="FF63BE7B"/>
      </colorScale>
    </cfRule>
  </conditionalFormatting>
  <conditionalFormatting sqref="M128:M133">
    <cfRule type="colorScale" priority="72">
      <colorScale>
        <cfvo type="min"/>
        <cfvo type="percentile" val="50"/>
        <cfvo type="max"/>
        <color rgb="FFF8696B"/>
        <color rgb="FFFCFCFF"/>
        <color rgb="FF63BE7B"/>
      </colorScale>
    </cfRule>
  </conditionalFormatting>
  <conditionalFormatting sqref="N128:N133">
    <cfRule type="colorScale" priority="71">
      <colorScale>
        <cfvo type="min"/>
        <cfvo type="percentile" val="50"/>
        <cfvo type="max"/>
        <color rgb="FFF8696B"/>
        <color rgb="FFFCFCFF"/>
        <color rgb="FF63BE7B"/>
      </colorScale>
    </cfRule>
  </conditionalFormatting>
  <conditionalFormatting sqref="J128:J133">
    <cfRule type="colorScale" priority="69">
      <colorScale>
        <cfvo type="min"/>
        <cfvo type="percentile" val="50"/>
        <cfvo type="max"/>
        <color rgb="FFF8696B"/>
        <color rgb="FFFCFCFF"/>
        <color rgb="FF63BE7B"/>
      </colorScale>
    </cfRule>
  </conditionalFormatting>
  <conditionalFormatting sqref="K144:N153">
    <cfRule type="cellIs" dxfId="7" priority="54" operator="equal">
      <formula>$V$5</formula>
    </cfRule>
  </conditionalFormatting>
  <conditionalFormatting sqref="K144:K153">
    <cfRule type="colorScale" priority="53">
      <colorScale>
        <cfvo type="min"/>
        <cfvo type="percentile" val="50"/>
        <cfvo type="max"/>
        <color rgb="FFF8696B"/>
        <color rgb="FFFCFCFF"/>
        <color rgb="FF63BE7B"/>
      </colorScale>
    </cfRule>
  </conditionalFormatting>
  <conditionalFormatting sqref="L144:L153">
    <cfRule type="colorScale" priority="52">
      <colorScale>
        <cfvo type="min"/>
        <cfvo type="percentile" val="50"/>
        <cfvo type="max"/>
        <color rgb="FFF8696B"/>
        <color rgb="FFFCFCFF"/>
        <color rgb="FF63BE7B"/>
      </colorScale>
    </cfRule>
  </conditionalFormatting>
  <conditionalFormatting sqref="M144:M153">
    <cfRule type="colorScale" priority="51">
      <colorScale>
        <cfvo type="min"/>
        <cfvo type="percentile" val="50"/>
        <cfvo type="max"/>
        <color rgb="FFF8696B"/>
        <color rgb="FFFCFCFF"/>
        <color rgb="FF63BE7B"/>
      </colorScale>
    </cfRule>
  </conditionalFormatting>
  <conditionalFormatting sqref="N144:N153">
    <cfRule type="colorScale" priority="50">
      <colorScale>
        <cfvo type="min"/>
        <cfvo type="percentile" val="50"/>
        <cfvo type="max"/>
        <color rgb="FFF8696B"/>
        <color rgb="FFFCFCFF"/>
        <color rgb="FF63BE7B"/>
      </colorScale>
    </cfRule>
  </conditionalFormatting>
  <conditionalFormatting sqref="J144:J153">
    <cfRule type="colorScale" priority="48">
      <colorScale>
        <cfvo type="min"/>
        <cfvo type="percentile" val="50"/>
        <cfvo type="max"/>
        <color rgb="FFF8696B"/>
        <color rgb="FFFCFCFF"/>
        <color rgb="FF63BE7B"/>
      </colorScale>
    </cfRule>
  </conditionalFormatting>
  <conditionalFormatting sqref="K143:N143">
    <cfRule type="cellIs" dxfId="6" priority="47" operator="equal">
      <formula>$V$5</formula>
    </cfRule>
  </conditionalFormatting>
  <conditionalFormatting sqref="K143">
    <cfRule type="colorScale" priority="46">
      <colorScale>
        <cfvo type="min"/>
        <cfvo type="percentile" val="50"/>
        <cfvo type="max"/>
        <color rgb="FFF8696B"/>
        <color rgb="FFFCFCFF"/>
        <color rgb="FF63BE7B"/>
      </colorScale>
    </cfRule>
  </conditionalFormatting>
  <conditionalFormatting sqref="L143">
    <cfRule type="colorScale" priority="45">
      <colorScale>
        <cfvo type="min"/>
        <cfvo type="percentile" val="50"/>
        <cfvo type="max"/>
        <color rgb="FFF8696B"/>
        <color rgb="FFFCFCFF"/>
        <color rgb="FF63BE7B"/>
      </colorScale>
    </cfRule>
  </conditionalFormatting>
  <conditionalFormatting sqref="M143">
    <cfRule type="colorScale" priority="44">
      <colorScale>
        <cfvo type="min"/>
        <cfvo type="percentile" val="50"/>
        <cfvo type="max"/>
        <color rgb="FFF8696B"/>
        <color rgb="FFFCFCFF"/>
        <color rgb="FF63BE7B"/>
      </colorScale>
    </cfRule>
  </conditionalFormatting>
  <conditionalFormatting sqref="N143">
    <cfRule type="colorScale" priority="43">
      <colorScale>
        <cfvo type="min"/>
        <cfvo type="percentile" val="50"/>
        <cfvo type="max"/>
        <color rgb="FFF8696B"/>
        <color rgb="FFFCFCFF"/>
        <color rgb="FF63BE7B"/>
      </colorScale>
    </cfRule>
  </conditionalFormatting>
  <conditionalFormatting sqref="J143">
    <cfRule type="colorScale" priority="41">
      <colorScale>
        <cfvo type="min"/>
        <cfvo type="percentile" val="50"/>
        <cfvo type="max"/>
        <color rgb="FFF8696B"/>
        <color rgb="FFFCFCFF"/>
        <color rgb="FF63BE7B"/>
      </colorScale>
    </cfRule>
  </conditionalFormatting>
  <conditionalFormatting sqref="K142:N142">
    <cfRule type="cellIs" dxfId="5" priority="40" operator="equal">
      <formula>$V$5</formula>
    </cfRule>
  </conditionalFormatting>
  <conditionalFormatting sqref="K142">
    <cfRule type="colorScale" priority="39">
      <colorScale>
        <cfvo type="min"/>
        <cfvo type="percentile" val="50"/>
        <cfvo type="max"/>
        <color rgb="FFF8696B"/>
        <color rgb="FFFCFCFF"/>
        <color rgb="FF63BE7B"/>
      </colorScale>
    </cfRule>
  </conditionalFormatting>
  <conditionalFormatting sqref="L142">
    <cfRule type="colorScale" priority="38">
      <colorScale>
        <cfvo type="min"/>
        <cfvo type="percentile" val="50"/>
        <cfvo type="max"/>
        <color rgb="FFF8696B"/>
        <color rgb="FFFCFCFF"/>
        <color rgb="FF63BE7B"/>
      </colorScale>
    </cfRule>
  </conditionalFormatting>
  <conditionalFormatting sqref="M142">
    <cfRule type="colorScale" priority="37">
      <colorScale>
        <cfvo type="min"/>
        <cfvo type="percentile" val="50"/>
        <cfvo type="max"/>
        <color rgb="FFF8696B"/>
        <color rgb="FFFCFCFF"/>
        <color rgb="FF63BE7B"/>
      </colorScale>
    </cfRule>
  </conditionalFormatting>
  <conditionalFormatting sqref="N142">
    <cfRule type="colorScale" priority="36">
      <colorScale>
        <cfvo type="min"/>
        <cfvo type="percentile" val="50"/>
        <cfvo type="max"/>
        <color rgb="FFF8696B"/>
        <color rgb="FFFCFCFF"/>
        <color rgb="FF63BE7B"/>
      </colorScale>
    </cfRule>
  </conditionalFormatting>
  <conditionalFormatting sqref="J142">
    <cfRule type="colorScale" priority="34">
      <colorScale>
        <cfvo type="min"/>
        <cfvo type="percentile" val="50"/>
        <cfvo type="max"/>
        <color rgb="FFF8696B"/>
        <color rgb="FFFCFCFF"/>
        <color rgb="FF63BE7B"/>
      </colorScale>
    </cfRule>
  </conditionalFormatting>
  <conditionalFormatting sqref="K141:N141">
    <cfRule type="cellIs" dxfId="4" priority="33" operator="equal">
      <formula>$V$5</formula>
    </cfRule>
  </conditionalFormatting>
  <conditionalFormatting sqref="K141">
    <cfRule type="colorScale" priority="32">
      <colorScale>
        <cfvo type="min"/>
        <cfvo type="percentile" val="50"/>
        <cfvo type="max"/>
        <color rgb="FFF8696B"/>
        <color rgb="FFFCFCFF"/>
        <color rgb="FF63BE7B"/>
      </colorScale>
    </cfRule>
  </conditionalFormatting>
  <conditionalFormatting sqref="L141">
    <cfRule type="colorScale" priority="31">
      <colorScale>
        <cfvo type="min"/>
        <cfvo type="percentile" val="50"/>
        <cfvo type="max"/>
        <color rgb="FFF8696B"/>
        <color rgb="FFFCFCFF"/>
        <color rgb="FF63BE7B"/>
      </colorScale>
    </cfRule>
  </conditionalFormatting>
  <conditionalFormatting sqref="M141">
    <cfRule type="colorScale" priority="30">
      <colorScale>
        <cfvo type="min"/>
        <cfvo type="percentile" val="50"/>
        <cfvo type="max"/>
        <color rgb="FFF8696B"/>
        <color rgb="FFFCFCFF"/>
        <color rgb="FF63BE7B"/>
      </colorScale>
    </cfRule>
  </conditionalFormatting>
  <conditionalFormatting sqref="N141">
    <cfRule type="colorScale" priority="29">
      <colorScale>
        <cfvo type="min"/>
        <cfvo type="percentile" val="50"/>
        <cfvo type="max"/>
        <color rgb="FFF8696B"/>
        <color rgb="FFFCFCFF"/>
        <color rgb="FF63BE7B"/>
      </colorScale>
    </cfRule>
  </conditionalFormatting>
  <conditionalFormatting sqref="J141">
    <cfRule type="colorScale" priority="27">
      <colorScale>
        <cfvo type="min"/>
        <cfvo type="percentile" val="50"/>
        <cfvo type="max"/>
        <color rgb="FFF8696B"/>
        <color rgb="FFFCFCFF"/>
        <color rgb="FF63BE7B"/>
      </colorScale>
    </cfRule>
  </conditionalFormatting>
  <conditionalFormatting sqref="K140:N140">
    <cfRule type="cellIs" dxfId="3" priority="26" operator="equal">
      <formula>$V$5</formula>
    </cfRule>
  </conditionalFormatting>
  <conditionalFormatting sqref="K140">
    <cfRule type="colorScale" priority="25">
      <colorScale>
        <cfvo type="min"/>
        <cfvo type="percentile" val="50"/>
        <cfvo type="max"/>
        <color rgb="FFF8696B"/>
        <color rgb="FFFCFCFF"/>
        <color rgb="FF63BE7B"/>
      </colorScale>
    </cfRule>
  </conditionalFormatting>
  <conditionalFormatting sqref="L140">
    <cfRule type="colorScale" priority="24">
      <colorScale>
        <cfvo type="min"/>
        <cfvo type="percentile" val="50"/>
        <cfvo type="max"/>
        <color rgb="FFF8696B"/>
        <color rgb="FFFCFCFF"/>
        <color rgb="FF63BE7B"/>
      </colorScale>
    </cfRule>
  </conditionalFormatting>
  <conditionalFormatting sqref="M140">
    <cfRule type="colorScale" priority="23">
      <colorScale>
        <cfvo type="min"/>
        <cfvo type="percentile" val="50"/>
        <cfvo type="max"/>
        <color rgb="FFF8696B"/>
        <color rgb="FFFCFCFF"/>
        <color rgb="FF63BE7B"/>
      </colorScale>
    </cfRule>
  </conditionalFormatting>
  <conditionalFormatting sqref="N140">
    <cfRule type="colorScale" priority="22">
      <colorScale>
        <cfvo type="min"/>
        <cfvo type="percentile" val="50"/>
        <cfvo type="max"/>
        <color rgb="FFF8696B"/>
        <color rgb="FFFCFCFF"/>
        <color rgb="FF63BE7B"/>
      </colorScale>
    </cfRule>
  </conditionalFormatting>
  <conditionalFormatting sqref="J140">
    <cfRule type="colorScale" priority="20">
      <colorScale>
        <cfvo type="min"/>
        <cfvo type="percentile" val="50"/>
        <cfvo type="max"/>
        <color rgb="FFF8696B"/>
        <color rgb="FFFCFCFF"/>
        <color rgb="FF63BE7B"/>
      </colorScale>
    </cfRule>
  </conditionalFormatting>
  <conditionalFormatting sqref="K138:K139 K5:K90 K92 K95:K127">
    <cfRule type="colorScale" priority="106">
      <colorScale>
        <cfvo type="min"/>
        <cfvo type="percentile" val="50"/>
        <cfvo type="max"/>
        <color rgb="FFF8696B"/>
        <color rgb="FFFCFCFF"/>
        <color rgb="FF63BE7B"/>
      </colorScale>
    </cfRule>
  </conditionalFormatting>
  <conditionalFormatting sqref="L138:L139 L5:L90 L92 L95:L127">
    <cfRule type="colorScale" priority="108">
      <colorScale>
        <cfvo type="min"/>
        <cfvo type="percentile" val="50"/>
        <cfvo type="max"/>
        <color rgb="FFF8696B"/>
        <color rgb="FFFCFCFF"/>
        <color rgb="FF63BE7B"/>
      </colorScale>
    </cfRule>
  </conditionalFormatting>
  <conditionalFormatting sqref="M138:M139 M5:M90 M92 M95:M127">
    <cfRule type="colorScale" priority="110">
      <colorScale>
        <cfvo type="min"/>
        <cfvo type="percentile" val="50"/>
        <cfvo type="max"/>
        <color rgb="FFF8696B"/>
        <color rgb="FFFCFCFF"/>
        <color rgb="FF63BE7B"/>
      </colorScale>
    </cfRule>
  </conditionalFormatting>
  <conditionalFormatting sqref="N138:N139 N5:N90 N92 N95:N127">
    <cfRule type="colorScale" priority="112">
      <colorScale>
        <cfvo type="min"/>
        <cfvo type="percentile" val="50"/>
        <cfvo type="max"/>
        <color rgb="FFF8696B"/>
        <color rgb="FFFCFCFF"/>
        <color rgb="FF63BE7B"/>
      </colorScale>
    </cfRule>
  </conditionalFormatting>
  <conditionalFormatting sqref="O5">
    <cfRule type="colorScale" priority="114">
      <colorScale>
        <cfvo type="min"/>
        <cfvo type="percentile" val="50"/>
        <cfvo type="max"/>
        <color rgb="FFF8696B"/>
        <color rgb="FFFCFCFF"/>
        <color rgb="FF63BE7B"/>
      </colorScale>
    </cfRule>
  </conditionalFormatting>
  <conditionalFormatting sqref="J138:J139 J5:J90 J92 J95:J127">
    <cfRule type="colorScale" priority="116">
      <colorScale>
        <cfvo type="min"/>
        <cfvo type="percentile" val="50"/>
        <cfvo type="max"/>
        <color rgb="FFF8696B"/>
        <color rgb="FFFCFCFF"/>
        <color rgb="FF63BE7B"/>
      </colorScale>
    </cfRule>
  </conditionalFormatting>
  <conditionalFormatting sqref="K91:N91">
    <cfRule type="cellIs" dxfId="2" priority="11" operator="equal">
      <formula>$V$5</formula>
    </cfRule>
  </conditionalFormatting>
  <conditionalFormatting sqref="K91">
    <cfRule type="colorScale" priority="12">
      <colorScale>
        <cfvo type="min"/>
        <cfvo type="percentile" val="50"/>
        <cfvo type="max"/>
        <color rgb="FFF8696B"/>
        <color rgb="FFFCFCFF"/>
        <color rgb="FF63BE7B"/>
      </colorScale>
    </cfRule>
  </conditionalFormatting>
  <conditionalFormatting sqref="L91">
    <cfRule type="colorScale" priority="13">
      <colorScale>
        <cfvo type="min"/>
        <cfvo type="percentile" val="50"/>
        <cfvo type="max"/>
        <color rgb="FFF8696B"/>
        <color rgb="FFFCFCFF"/>
        <color rgb="FF63BE7B"/>
      </colorScale>
    </cfRule>
  </conditionalFormatting>
  <conditionalFormatting sqref="M91">
    <cfRule type="colorScale" priority="14">
      <colorScale>
        <cfvo type="min"/>
        <cfvo type="percentile" val="50"/>
        <cfvo type="max"/>
        <color rgb="FFF8696B"/>
        <color rgb="FFFCFCFF"/>
        <color rgb="FF63BE7B"/>
      </colorScale>
    </cfRule>
  </conditionalFormatting>
  <conditionalFormatting sqref="N91">
    <cfRule type="colorScale" priority="15">
      <colorScale>
        <cfvo type="min"/>
        <cfvo type="percentile" val="50"/>
        <cfvo type="max"/>
        <color rgb="FFF8696B"/>
        <color rgb="FFFCFCFF"/>
        <color rgb="FF63BE7B"/>
      </colorScale>
    </cfRule>
  </conditionalFormatting>
  <conditionalFormatting sqref="J91">
    <cfRule type="colorScale" priority="16">
      <colorScale>
        <cfvo type="min"/>
        <cfvo type="percentile" val="50"/>
        <cfvo type="max"/>
        <color rgb="FFF8696B"/>
        <color rgb="FFFCFCFF"/>
        <color rgb="FF63BE7B"/>
      </colorScale>
    </cfRule>
  </conditionalFormatting>
  <conditionalFormatting sqref="K93:N94">
    <cfRule type="cellIs" dxfId="1" priority="4" operator="equal">
      <formula>$V$5</formula>
    </cfRule>
  </conditionalFormatting>
  <conditionalFormatting sqref="K93:K94">
    <cfRule type="colorScale" priority="5">
      <colorScale>
        <cfvo type="min"/>
        <cfvo type="percentile" val="50"/>
        <cfvo type="max"/>
        <color rgb="FFF8696B"/>
        <color rgb="FFFCFCFF"/>
        <color rgb="FF63BE7B"/>
      </colorScale>
    </cfRule>
  </conditionalFormatting>
  <conditionalFormatting sqref="L93:L94">
    <cfRule type="colorScale" priority="6">
      <colorScale>
        <cfvo type="min"/>
        <cfvo type="percentile" val="50"/>
        <cfvo type="max"/>
        <color rgb="FFF8696B"/>
        <color rgb="FFFCFCFF"/>
        <color rgb="FF63BE7B"/>
      </colorScale>
    </cfRule>
  </conditionalFormatting>
  <conditionalFormatting sqref="M93:M94">
    <cfRule type="colorScale" priority="7">
      <colorScale>
        <cfvo type="min"/>
        <cfvo type="percentile" val="50"/>
        <cfvo type="max"/>
        <color rgb="FFF8696B"/>
        <color rgb="FFFCFCFF"/>
        <color rgb="FF63BE7B"/>
      </colorScale>
    </cfRule>
  </conditionalFormatting>
  <conditionalFormatting sqref="N93:N94">
    <cfRule type="colorScale" priority="8">
      <colorScale>
        <cfvo type="min"/>
        <cfvo type="percentile" val="50"/>
        <cfvo type="max"/>
        <color rgb="FFF8696B"/>
        <color rgb="FFFCFCFF"/>
        <color rgb="FF63BE7B"/>
      </colorScale>
    </cfRule>
  </conditionalFormatting>
  <conditionalFormatting sqref="J93:J94">
    <cfRule type="colorScale" priority="9">
      <colorScale>
        <cfvo type="min"/>
        <cfvo type="percentile" val="50"/>
        <cfvo type="max"/>
        <color rgb="FFF8696B"/>
        <color rgb="FFFCFCFF"/>
        <color rgb="FF63BE7B"/>
      </colorScale>
    </cfRule>
  </conditionalFormatting>
  <conditionalFormatting sqref="O6:O153">
    <cfRule type="cellIs" dxfId="0" priority="1" operator="equal">
      <formula>$V$5</formula>
    </cfRule>
  </conditionalFormatting>
  <conditionalFormatting sqref="O6:O153">
    <cfRule type="colorScale" priority="2">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4"/>
  <sheetViews>
    <sheetView workbookViewId="0">
      <selection activeCell="D8" sqref="D8"/>
    </sheetView>
  </sheetViews>
  <sheetFormatPr baseColWidth="10" defaultRowHeight="15" x14ac:dyDescent="0.25"/>
  <cols>
    <col min="2" max="2" width="34.5703125" customWidth="1"/>
    <col min="3" max="3" width="22.5703125" customWidth="1"/>
    <col min="4" max="4" width="26.140625" customWidth="1"/>
  </cols>
  <sheetData>
    <row r="2" spans="2:4" ht="19.5" thickBot="1" x14ac:dyDescent="0.35">
      <c r="B2" s="303" t="s">
        <v>333</v>
      </c>
      <c r="C2" s="303"/>
      <c r="D2" s="303"/>
    </row>
    <row r="3" spans="2:4" ht="15.75" thickBot="1" x14ac:dyDescent="0.3">
      <c r="B3" s="38"/>
      <c r="C3" s="38"/>
      <c r="D3" s="38"/>
    </row>
    <row r="4" spans="2:4" x14ac:dyDescent="0.25">
      <c r="B4" s="78" t="s">
        <v>366</v>
      </c>
      <c r="C4" s="79" t="s">
        <v>334</v>
      </c>
      <c r="D4" s="80" t="s">
        <v>335</v>
      </c>
    </row>
    <row r="5" spans="2:4" x14ac:dyDescent="0.25">
      <c r="B5" s="81" t="s">
        <v>44</v>
      </c>
      <c r="C5" s="82">
        <v>0.15</v>
      </c>
      <c r="D5" s="81">
        <v>300</v>
      </c>
    </row>
    <row r="6" spans="2:4" x14ac:dyDescent="0.25">
      <c r="B6" s="81" t="s">
        <v>49</v>
      </c>
      <c r="C6" s="82">
        <v>0.13</v>
      </c>
      <c r="D6" s="81">
        <v>260</v>
      </c>
    </row>
    <row r="7" spans="2:4" x14ac:dyDescent="0.25">
      <c r="B7" s="83" t="s">
        <v>396</v>
      </c>
      <c r="C7" s="82">
        <v>0.1</v>
      </c>
      <c r="D7" s="81">
        <v>200</v>
      </c>
    </row>
    <row r="8" spans="2:4" x14ac:dyDescent="0.25">
      <c r="B8" s="81" t="s">
        <v>413</v>
      </c>
      <c r="C8" s="82">
        <v>0.09</v>
      </c>
      <c r="D8" s="81">
        <v>180</v>
      </c>
    </row>
    <row r="9" spans="2:4" x14ac:dyDescent="0.25">
      <c r="B9" s="81" t="s">
        <v>414</v>
      </c>
      <c r="C9" s="82">
        <v>0.08</v>
      </c>
      <c r="D9" s="81">
        <v>160</v>
      </c>
    </row>
    <row r="10" spans="2:4" x14ac:dyDescent="0.25">
      <c r="B10" s="81" t="s">
        <v>56</v>
      </c>
      <c r="C10" s="82">
        <v>0.08</v>
      </c>
      <c r="D10" s="81">
        <v>160</v>
      </c>
    </row>
    <row r="11" spans="2:4" x14ac:dyDescent="0.25">
      <c r="B11" s="81" t="s">
        <v>337</v>
      </c>
      <c r="C11" s="82">
        <v>7.0000000000000007E-2</v>
      </c>
      <c r="D11" s="81">
        <v>140</v>
      </c>
    </row>
    <row r="12" spans="2:4" x14ac:dyDescent="0.25">
      <c r="B12" s="81" t="s">
        <v>415</v>
      </c>
      <c r="C12" s="82">
        <v>0.06</v>
      </c>
      <c r="D12" s="81">
        <v>120</v>
      </c>
    </row>
    <row r="13" spans="2:4" x14ac:dyDescent="0.25">
      <c r="B13" s="81" t="s">
        <v>40</v>
      </c>
      <c r="C13" s="82">
        <v>0.06</v>
      </c>
      <c r="D13" s="81">
        <v>120</v>
      </c>
    </row>
    <row r="14" spans="2:4" x14ac:dyDescent="0.25">
      <c r="B14" s="81" t="s">
        <v>416</v>
      </c>
      <c r="C14" s="82">
        <v>0.05</v>
      </c>
      <c r="D14" s="81">
        <v>100</v>
      </c>
    </row>
    <row r="15" spans="2:4" x14ac:dyDescent="0.25">
      <c r="B15" s="81" t="s">
        <v>53</v>
      </c>
      <c r="C15" s="82">
        <v>0.05</v>
      </c>
      <c r="D15" s="81">
        <v>100</v>
      </c>
    </row>
    <row r="16" spans="2:4" x14ac:dyDescent="0.25">
      <c r="B16" s="81" t="s">
        <v>50</v>
      </c>
      <c r="C16" s="82">
        <v>0.05</v>
      </c>
      <c r="D16" s="81">
        <v>100</v>
      </c>
    </row>
    <row r="17" spans="2:4" x14ac:dyDescent="0.25">
      <c r="B17" s="81" t="s">
        <v>38</v>
      </c>
      <c r="C17" s="82">
        <v>0.03</v>
      </c>
      <c r="D17" s="81">
        <v>60</v>
      </c>
    </row>
    <row r="18" spans="2:4" x14ac:dyDescent="0.25">
      <c r="B18" s="84"/>
      <c r="C18" s="85">
        <f>SUM(C5:C17)</f>
        <v>1.0000000000000002</v>
      </c>
      <c r="D18" s="84">
        <f>SUM(D5:D17)</f>
        <v>2000</v>
      </c>
    </row>
    <row r="20" spans="2:4" ht="18.75" x14ac:dyDescent="0.3">
      <c r="B20" s="304" t="s">
        <v>338</v>
      </c>
      <c r="C20" s="304"/>
      <c r="D20" s="304"/>
    </row>
    <row r="21" spans="2:4" ht="15.75" thickBot="1" x14ac:dyDescent="0.3"/>
    <row r="22" spans="2:4" ht="15.75" thickBot="1" x14ac:dyDescent="0.3">
      <c r="B22" s="39" t="s">
        <v>339</v>
      </c>
      <c r="C22" s="40" t="s">
        <v>340</v>
      </c>
      <c r="D22" s="41" t="s">
        <v>341</v>
      </c>
    </row>
    <row r="23" spans="2:4" ht="15.75" thickBot="1" x14ac:dyDescent="0.3">
      <c r="B23" s="42">
        <v>1</v>
      </c>
      <c r="C23" s="43" t="s">
        <v>342</v>
      </c>
      <c r="D23" s="43" t="s">
        <v>343</v>
      </c>
    </row>
    <row r="24" spans="2:4" ht="15.75" thickBot="1" x14ac:dyDescent="0.3">
      <c r="B24" s="44">
        <v>2</v>
      </c>
      <c r="C24" s="45" t="s">
        <v>344</v>
      </c>
      <c r="D24" s="45" t="s">
        <v>345</v>
      </c>
    </row>
    <row r="25" spans="2:4" ht="15.75" thickBot="1" x14ac:dyDescent="0.3">
      <c r="B25" s="42">
        <v>3</v>
      </c>
      <c r="C25" s="43" t="s">
        <v>346</v>
      </c>
      <c r="D25" s="43" t="s">
        <v>347</v>
      </c>
    </row>
    <row r="26" spans="2:4" ht="15.75" thickBot="1" x14ac:dyDescent="0.3">
      <c r="B26" s="44">
        <v>4</v>
      </c>
      <c r="C26" s="45" t="s">
        <v>348</v>
      </c>
      <c r="D26" s="45" t="s">
        <v>349</v>
      </c>
    </row>
    <row r="27" spans="2:4" ht="15.75" thickBot="1" x14ac:dyDescent="0.3">
      <c r="B27" s="42">
        <v>5</v>
      </c>
      <c r="C27" s="43" t="s">
        <v>350</v>
      </c>
      <c r="D27" s="43" t="s">
        <v>351</v>
      </c>
    </row>
    <row r="30" spans="2:4" ht="18.75" x14ac:dyDescent="0.3">
      <c r="B30" s="304" t="s">
        <v>352</v>
      </c>
      <c r="C30" s="304"/>
      <c r="D30" s="304"/>
    </row>
    <row r="32" spans="2:4" ht="15.75" x14ac:dyDescent="0.25">
      <c r="B32" s="305" t="s">
        <v>353</v>
      </c>
      <c r="C32" s="305"/>
      <c r="D32" s="305"/>
    </row>
    <row r="33" spans="2:4" x14ac:dyDescent="0.25">
      <c r="B33" s="46"/>
    </row>
    <row r="34" spans="2:4" ht="52.5" customHeight="1" x14ac:dyDescent="0.25">
      <c r="B34" s="302" t="s">
        <v>354</v>
      </c>
      <c r="C34" s="302"/>
      <c r="D34" s="302"/>
    </row>
    <row r="35" spans="2:4" x14ac:dyDescent="0.25">
      <c r="B35" s="46"/>
    </row>
    <row r="36" spans="2:4" ht="54.75" customHeight="1" x14ac:dyDescent="0.25">
      <c r="B36" s="302" t="s">
        <v>355</v>
      </c>
      <c r="C36" s="302"/>
      <c r="D36" s="302"/>
    </row>
    <row r="37" spans="2:4" x14ac:dyDescent="0.25">
      <c r="B37" s="47"/>
      <c r="C37" s="48"/>
      <c r="D37" s="48"/>
    </row>
    <row r="38" spans="2:4" ht="51" customHeight="1" x14ac:dyDescent="0.25">
      <c r="B38" s="302" t="s">
        <v>356</v>
      </c>
      <c r="C38" s="302"/>
      <c r="D38" s="302"/>
    </row>
    <row r="39" spans="2:4" x14ac:dyDescent="0.25">
      <c r="B39" s="47"/>
      <c r="C39" s="48"/>
      <c r="D39" s="48"/>
    </row>
    <row r="40" spans="2:4" ht="54.75" customHeight="1" x14ac:dyDescent="0.25">
      <c r="B40" s="302" t="s">
        <v>357</v>
      </c>
      <c r="C40" s="302"/>
      <c r="D40" s="302"/>
    </row>
    <row r="41" spans="2:4" x14ac:dyDescent="0.25">
      <c r="B41" s="47"/>
      <c r="C41" s="48"/>
      <c r="D41" s="48"/>
    </row>
    <row r="42" spans="2:4" ht="51" customHeight="1" x14ac:dyDescent="0.25">
      <c r="B42" s="302" t="s">
        <v>358</v>
      </c>
      <c r="C42" s="302"/>
      <c r="D42" s="302"/>
    </row>
    <row r="43" spans="2:4" x14ac:dyDescent="0.25">
      <c r="B43" s="47"/>
      <c r="C43" s="47"/>
      <c r="D43" s="47"/>
    </row>
    <row r="44" spans="2:4" ht="15.75" x14ac:dyDescent="0.25">
      <c r="B44" s="49"/>
      <c r="C44" s="50"/>
      <c r="D44" s="50"/>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7"/>
  <sheetViews>
    <sheetView workbookViewId="0">
      <selection activeCell="F15" sqref="F15"/>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30.75" x14ac:dyDescent="0.25">
      <c r="A2" s="306"/>
      <c r="B2" s="307"/>
      <c r="C2" s="307"/>
      <c r="D2" s="307"/>
      <c r="E2" s="307"/>
      <c r="F2" s="13"/>
      <c r="G2" s="13"/>
      <c r="H2" s="13"/>
      <c r="I2" s="13"/>
      <c r="J2" s="13"/>
      <c r="K2" s="13"/>
    </row>
    <row r="3" spans="1:11" ht="18.75" x14ac:dyDescent="0.25">
      <c r="A3" s="308" t="s">
        <v>359</v>
      </c>
      <c r="B3" s="308"/>
      <c r="C3" s="308"/>
      <c r="D3" s="308"/>
      <c r="E3" s="308"/>
    </row>
    <row r="4" spans="1:11" ht="15.75" thickBot="1" x14ac:dyDescent="0.3"/>
    <row r="5" spans="1:11" ht="24.75" thickBot="1" x14ac:dyDescent="0.3">
      <c r="A5" s="51" t="s">
        <v>360</v>
      </c>
      <c r="B5" s="51" t="s">
        <v>361</v>
      </c>
      <c r="C5" s="51" t="s">
        <v>362</v>
      </c>
      <c r="D5" s="51" t="s">
        <v>363</v>
      </c>
      <c r="E5" s="51" t="s">
        <v>364</v>
      </c>
    </row>
    <row r="6" spans="1:11" ht="15.75" thickBot="1" x14ac:dyDescent="0.3">
      <c r="A6" s="309">
        <f>'[1]Datos Generales'!C7</f>
        <v>0</v>
      </c>
      <c r="B6" s="52" t="s">
        <v>336</v>
      </c>
      <c r="C6" s="53">
        <v>174</v>
      </c>
      <c r="D6" s="53">
        <f>Evaluacion!AE5</f>
        <v>100</v>
      </c>
      <c r="E6" s="54">
        <f>D6/C6</f>
        <v>0.57471264367816088</v>
      </c>
    </row>
    <row r="7" spans="1:11" ht="15.75" thickBot="1" x14ac:dyDescent="0.3">
      <c r="A7" s="310"/>
      <c r="B7" s="55" t="s">
        <v>365</v>
      </c>
      <c r="C7" s="56">
        <v>62</v>
      </c>
      <c r="D7" s="56">
        <f>[1]Evaluacion!AE25</f>
        <v>200.2</v>
      </c>
      <c r="E7" s="57">
        <f t="shared" ref="E7:E17" si="0">D7/C7</f>
        <v>3.2290322580645161</v>
      </c>
    </row>
    <row r="8" spans="1:11" ht="15.75" thickBot="1" x14ac:dyDescent="0.3">
      <c r="A8" s="310"/>
      <c r="B8" s="52" t="s">
        <v>33</v>
      </c>
      <c r="C8" s="53">
        <v>142</v>
      </c>
      <c r="D8" s="53">
        <f>[1]Evaluacion!AE32</f>
        <v>159.80000000000004</v>
      </c>
      <c r="E8" s="54">
        <f t="shared" si="0"/>
        <v>1.1253521126760566</v>
      </c>
    </row>
    <row r="9" spans="1:11" ht="15.75" thickBot="1" x14ac:dyDescent="0.3">
      <c r="A9" s="310"/>
      <c r="B9" s="55" t="s">
        <v>38</v>
      </c>
      <c r="C9" s="56">
        <v>16</v>
      </c>
      <c r="D9" s="56">
        <f>[1]Evaluacion!AE49</f>
        <v>100</v>
      </c>
      <c r="E9" s="57">
        <f t="shared" si="0"/>
        <v>6.25</v>
      </c>
    </row>
    <row r="10" spans="1:11" ht="15.75" thickBot="1" x14ac:dyDescent="0.3">
      <c r="A10" s="310"/>
      <c r="B10" s="52" t="s">
        <v>40</v>
      </c>
      <c r="C10" s="53">
        <v>91</v>
      </c>
      <c r="D10" s="53">
        <f>[1]Evaluacion!AE51</f>
        <v>120</v>
      </c>
      <c r="E10" s="54">
        <f t="shared" si="0"/>
        <v>1.3186813186813187</v>
      </c>
    </row>
    <row r="11" spans="1:11" ht="15.75" thickBot="1" x14ac:dyDescent="0.3">
      <c r="A11" s="310"/>
      <c r="B11" s="55" t="s">
        <v>44</v>
      </c>
      <c r="C11" s="56">
        <v>135</v>
      </c>
      <c r="D11" s="56">
        <f>[1]Evaluacion!AE59</f>
        <v>260</v>
      </c>
      <c r="E11" s="57">
        <f t="shared" si="0"/>
        <v>1.9259259259259258</v>
      </c>
    </row>
    <row r="12" spans="1:11" ht="15.75" thickBot="1" x14ac:dyDescent="0.3">
      <c r="A12" s="310"/>
      <c r="B12" s="52" t="s">
        <v>47</v>
      </c>
      <c r="C12" s="53">
        <v>200</v>
      </c>
      <c r="D12" s="53">
        <f>[1]Evaluacion!AE71</f>
        <v>119.69999999999999</v>
      </c>
      <c r="E12" s="54">
        <f t="shared" si="0"/>
        <v>0.59849999999999992</v>
      </c>
    </row>
    <row r="13" spans="1:11" ht="15.75" thickBot="1" x14ac:dyDescent="0.3">
      <c r="A13" s="310"/>
      <c r="B13" s="55" t="s">
        <v>49</v>
      </c>
      <c r="C13" s="56">
        <v>110</v>
      </c>
      <c r="D13" s="56">
        <f>[1]Evaluacion!AE78</f>
        <v>120</v>
      </c>
      <c r="E13" s="57">
        <f t="shared" si="0"/>
        <v>1.0909090909090908</v>
      </c>
    </row>
    <row r="14" spans="1:11" ht="15.75" thickBot="1" x14ac:dyDescent="0.3">
      <c r="A14" s="310"/>
      <c r="B14" s="52" t="s">
        <v>50</v>
      </c>
      <c r="C14" s="53">
        <v>40</v>
      </c>
      <c r="D14" s="53">
        <f>[1]Evaluacion!AE81</f>
        <v>100</v>
      </c>
      <c r="E14" s="54">
        <f t="shared" si="0"/>
        <v>2.5</v>
      </c>
    </row>
    <row r="15" spans="1:11" ht="15.75" thickBot="1" x14ac:dyDescent="0.3">
      <c r="A15" s="310"/>
      <c r="B15" s="58" t="s">
        <v>51</v>
      </c>
      <c r="C15" s="56">
        <v>470</v>
      </c>
      <c r="D15" s="59">
        <f>[1]Evaluacion!AE83</f>
        <v>219.79999999999998</v>
      </c>
      <c r="E15" s="57">
        <f t="shared" si="0"/>
        <v>0.46765957446808509</v>
      </c>
    </row>
    <row r="16" spans="1:11" ht="15.75" thickBot="1" x14ac:dyDescent="0.3">
      <c r="A16" s="310"/>
      <c r="B16" s="52" t="s">
        <v>53</v>
      </c>
      <c r="C16" s="53">
        <v>210</v>
      </c>
      <c r="D16" s="53">
        <f>[1]Evaluacion!AE100</f>
        <v>220</v>
      </c>
      <c r="E16" s="54">
        <f t="shared" si="0"/>
        <v>1.0476190476190477</v>
      </c>
    </row>
    <row r="17" spans="1:5" ht="15.75" thickBot="1" x14ac:dyDescent="0.3">
      <c r="A17" s="311"/>
      <c r="B17" s="55" t="s">
        <v>56</v>
      </c>
      <c r="C17" s="56">
        <v>350</v>
      </c>
      <c r="D17" s="56">
        <f>[1]Evaluacion!AE107</f>
        <v>220.5</v>
      </c>
      <c r="E17" s="57">
        <f t="shared" si="0"/>
        <v>0.63</v>
      </c>
    </row>
  </sheetData>
  <mergeCells count="3">
    <mergeCell ref="A2:E2"/>
    <mergeCell ref="A3:E3"/>
    <mergeCell ref="A6:A1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C13" sqref="C13"/>
    </sheetView>
  </sheetViews>
  <sheetFormatPr baseColWidth="10" defaultRowHeight="15.75" x14ac:dyDescent="0.25"/>
  <cols>
    <col min="1" max="1" width="56.42578125" style="10" customWidth="1"/>
    <col min="2" max="2" width="57.5703125" style="7" customWidth="1"/>
    <col min="3" max="3" width="12.85546875" style="1" bestFit="1" customWidth="1"/>
    <col min="4" max="6" width="11.42578125" style="1"/>
  </cols>
  <sheetData>
    <row r="1" spans="1:6" ht="94.5" customHeight="1" x14ac:dyDescent="0.25">
      <c r="A1" s="317" t="s">
        <v>86</v>
      </c>
      <c r="B1" s="317"/>
    </row>
    <row r="2" spans="1:6" s="4" customFormat="1" ht="27.75" customHeight="1" x14ac:dyDescent="0.25">
      <c r="A2" s="315" t="s">
        <v>18</v>
      </c>
      <c r="B2" s="315"/>
      <c r="C2" s="2"/>
      <c r="D2" s="2"/>
      <c r="E2" s="2"/>
      <c r="F2" s="2"/>
    </row>
    <row r="3" spans="1:6" s="4" customFormat="1" ht="16.5" customHeight="1" x14ac:dyDescent="0.25">
      <c r="A3" s="316" t="s">
        <v>87</v>
      </c>
      <c r="B3" s="316"/>
      <c r="C3" s="2"/>
      <c r="D3" s="2"/>
      <c r="E3" s="2"/>
      <c r="F3" s="2"/>
    </row>
    <row r="4" spans="1:6" s="5" customFormat="1" ht="34.5" customHeight="1" x14ac:dyDescent="0.2">
      <c r="A4" s="23">
        <f>Evaluacion!AE154</f>
        <v>2000</v>
      </c>
      <c r="B4" s="24">
        <f>Referentes!C25</f>
        <v>0</v>
      </c>
      <c r="C4" s="3"/>
      <c r="D4" s="3"/>
      <c r="E4" s="3"/>
      <c r="F4" s="3"/>
    </row>
    <row r="5" spans="1:6" s="5" customFormat="1" ht="34.5" customHeight="1" x14ac:dyDescent="0.2">
      <c r="A5" s="25" t="s">
        <v>88</v>
      </c>
      <c r="B5" s="22" t="s">
        <v>62</v>
      </c>
      <c r="C5" s="3"/>
      <c r="D5" s="3"/>
      <c r="E5" s="3"/>
      <c r="F5" s="3"/>
    </row>
    <row r="6" spans="1:6" s="5" customFormat="1" ht="19.5" customHeight="1" x14ac:dyDescent="0.2">
      <c r="A6" s="313" t="s">
        <v>89</v>
      </c>
      <c r="B6" s="314"/>
      <c r="C6" s="3"/>
      <c r="D6" s="3"/>
      <c r="E6" s="3"/>
      <c r="F6" s="3"/>
    </row>
    <row r="7" spans="1:6" ht="35.25" customHeight="1" x14ac:dyDescent="0.25">
      <c r="A7" s="312"/>
      <c r="B7" s="312"/>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zoomScale="70" zoomScaleNormal="70" workbookViewId="0">
      <pane ySplit="2" topLeftCell="A3" activePane="bottomLeft" state="frozen"/>
      <selection pane="bottomLeft" activeCell="K11" sqref="K11"/>
    </sheetView>
  </sheetViews>
  <sheetFormatPr baseColWidth="10" defaultRowHeight="15.75" x14ac:dyDescent="0.25"/>
  <cols>
    <col min="1" max="1" width="4.7109375" style="10" customWidth="1"/>
    <col min="2" max="2" width="114.140625" style="10" customWidth="1"/>
    <col min="3" max="3" width="8.7109375" style="10" customWidth="1"/>
    <col min="4" max="11" width="11.42578125" style="13"/>
  </cols>
  <sheetData>
    <row r="1" spans="1:11" ht="77.25" customHeight="1" x14ac:dyDescent="0.25">
      <c r="A1" s="306" t="s">
        <v>64</v>
      </c>
      <c r="B1" s="307"/>
      <c r="C1" s="307"/>
    </row>
    <row r="2" spans="1:11" s="15" customFormat="1" ht="26.25" customHeight="1" x14ac:dyDescent="0.25">
      <c r="A2" s="19" t="s">
        <v>1</v>
      </c>
      <c r="B2" s="326" t="s">
        <v>63</v>
      </c>
      <c r="C2" s="327"/>
      <c r="D2" s="14"/>
      <c r="E2" s="14"/>
      <c r="F2" s="14"/>
      <c r="G2" s="14"/>
      <c r="H2" s="14"/>
      <c r="I2" s="14"/>
      <c r="J2" s="14"/>
      <c r="K2" s="14"/>
    </row>
    <row r="3" spans="1:11" ht="23.25" customHeight="1" x14ac:dyDescent="0.25">
      <c r="A3" s="328" t="s">
        <v>92</v>
      </c>
      <c r="B3" s="328"/>
      <c r="C3" s="6">
        <v>0</v>
      </c>
    </row>
    <row r="4" spans="1:11" ht="31.5" x14ac:dyDescent="0.25">
      <c r="A4" s="16">
        <v>1</v>
      </c>
      <c r="B4" s="26" t="s">
        <v>93</v>
      </c>
      <c r="C4" s="20"/>
    </row>
    <row r="5" spans="1:11" ht="47.25" x14ac:dyDescent="0.25">
      <c r="A5" s="16">
        <v>2</v>
      </c>
      <c r="B5" s="20" t="s">
        <v>94</v>
      </c>
      <c r="C5" s="20"/>
    </row>
    <row r="6" spans="1:11" ht="31.5" x14ac:dyDescent="0.25">
      <c r="A6" s="16">
        <v>3</v>
      </c>
      <c r="B6" s="20" t="s">
        <v>95</v>
      </c>
      <c r="C6" s="20"/>
    </row>
    <row r="7" spans="1:11" ht="47.25" x14ac:dyDescent="0.25">
      <c r="A7" s="16">
        <v>4</v>
      </c>
      <c r="B7" s="20" t="s">
        <v>96</v>
      </c>
      <c r="C7" s="20"/>
    </row>
    <row r="8" spans="1:11" ht="31.5" x14ac:dyDescent="0.25">
      <c r="A8" s="16">
        <v>5</v>
      </c>
      <c r="B8" s="20" t="s">
        <v>97</v>
      </c>
      <c r="C8" s="20"/>
    </row>
    <row r="9" spans="1:11" ht="31.5" customHeight="1" x14ac:dyDescent="0.25">
      <c r="A9" s="16">
        <v>6</v>
      </c>
      <c r="B9" s="20" t="s">
        <v>98</v>
      </c>
      <c r="C9" s="20"/>
    </row>
    <row r="10" spans="1:11" ht="31.5" x14ac:dyDescent="0.25">
      <c r="A10" s="16">
        <v>7</v>
      </c>
      <c r="B10" s="20" t="s">
        <v>99</v>
      </c>
      <c r="C10" s="20"/>
    </row>
    <row r="11" spans="1:11" x14ac:dyDescent="0.25">
      <c r="A11" s="16">
        <v>8</v>
      </c>
      <c r="B11" s="20" t="s">
        <v>100</v>
      </c>
      <c r="C11" s="20"/>
    </row>
    <row r="12" spans="1:11" ht="31.5" x14ac:dyDescent="0.25">
      <c r="A12" s="16">
        <v>9</v>
      </c>
      <c r="B12" s="28" t="s">
        <v>101</v>
      </c>
      <c r="C12" s="28"/>
    </row>
    <row r="13" spans="1:11" x14ac:dyDescent="0.25">
      <c r="A13" s="16">
        <v>10</v>
      </c>
      <c r="B13" s="28" t="s">
        <v>102</v>
      </c>
      <c r="C13" s="28"/>
    </row>
    <row r="14" spans="1:11" ht="31.5" x14ac:dyDescent="0.25">
      <c r="A14" s="16">
        <v>11</v>
      </c>
      <c r="B14" s="28" t="s">
        <v>103</v>
      </c>
      <c r="C14" s="28"/>
    </row>
    <row r="15" spans="1:11" ht="27" customHeight="1" x14ac:dyDescent="0.25">
      <c r="A15" s="328" t="s">
        <v>104</v>
      </c>
      <c r="B15" s="328"/>
      <c r="C15" s="32">
        <v>0</v>
      </c>
      <c r="D15" s="18"/>
    </row>
    <row r="16" spans="1:11" ht="31.5" x14ac:dyDescent="0.25">
      <c r="A16" s="16">
        <v>1</v>
      </c>
      <c r="B16" s="26" t="s">
        <v>105</v>
      </c>
      <c r="C16" s="20"/>
      <c r="D16" s="17"/>
    </row>
    <row r="17" spans="1:4" ht="31.5" x14ac:dyDescent="0.25">
      <c r="A17" s="16">
        <v>2</v>
      </c>
      <c r="B17" s="26" t="s">
        <v>106</v>
      </c>
      <c r="C17" s="20"/>
      <c r="D17" s="17"/>
    </row>
    <row r="18" spans="1:4" ht="47.25" x14ac:dyDescent="0.25">
      <c r="A18" s="16">
        <v>3</v>
      </c>
      <c r="B18" s="20" t="s">
        <v>107</v>
      </c>
      <c r="C18" s="20"/>
      <c r="D18" s="17"/>
    </row>
    <row r="19" spans="1:4" ht="31.5" x14ac:dyDescent="0.25">
      <c r="A19" s="16">
        <v>4</v>
      </c>
      <c r="B19" s="28" t="s">
        <v>108</v>
      </c>
      <c r="C19" s="20"/>
    </row>
    <row r="20" spans="1:4" ht="31.5" x14ac:dyDescent="0.25">
      <c r="A20" s="16">
        <v>5</v>
      </c>
      <c r="B20" s="28" t="s">
        <v>109</v>
      </c>
      <c r="C20" s="20"/>
    </row>
    <row r="21" spans="1:4" ht="31.5" x14ac:dyDescent="0.25">
      <c r="A21" s="16">
        <v>6</v>
      </c>
      <c r="B21" s="28" t="s">
        <v>110</v>
      </c>
      <c r="C21" s="28"/>
    </row>
    <row r="22" spans="1:4" x14ac:dyDescent="0.25">
      <c r="A22" s="16">
        <v>7</v>
      </c>
      <c r="B22" s="27" t="s">
        <v>111</v>
      </c>
      <c r="C22" s="28"/>
    </row>
    <row r="23" spans="1:4" x14ac:dyDescent="0.25">
      <c r="A23" s="16">
        <v>8</v>
      </c>
      <c r="B23" s="27" t="s">
        <v>112</v>
      </c>
      <c r="C23" s="28"/>
    </row>
    <row r="24" spans="1:4" x14ac:dyDescent="0.25">
      <c r="A24" s="16">
        <v>9</v>
      </c>
      <c r="B24" s="16" t="s">
        <v>113</v>
      </c>
      <c r="C24" s="28"/>
    </row>
    <row r="25" spans="1:4" ht="30.75" customHeight="1" x14ac:dyDescent="0.25">
      <c r="A25" s="325" t="s">
        <v>72</v>
      </c>
      <c r="B25" s="325"/>
      <c r="C25" s="37">
        <f>SUM(C3:C24)</f>
        <v>0</v>
      </c>
    </row>
    <row r="26" spans="1:4" x14ac:dyDescent="0.25">
      <c r="C26" s="21"/>
    </row>
  </sheetData>
  <mergeCells count="5">
    <mergeCell ref="A1:C1"/>
    <mergeCell ref="A25:B25"/>
    <mergeCell ref="B2:C2"/>
    <mergeCell ref="A15:B15"/>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A3" sqref="A3:C3"/>
    </sheetView>
  </sheetViews>
  <sheetFormatPr baseColWidth="10" defaultRowHeight="15.75" x14ac:dyDescent="0.25"/>
  <cols>
    <col min="1" max="1" width="4.7109375" style="10" customWidth="1"/>
    <col min="2" max="2" width="114.140625" style="10" customWidth="1"/>
    <col min="3" max="3" width="8.7109375" style="10" customWidth="1"/>
    <col min="4" max="11" width="11.42578125" style="13"/>
  </cols>
  <sheetData>
    <row r="1" spans="1:11" ht="77.25" customHeight="1" x14ac:dyDescent="0.25">
      <c r="A1" s="306" t="s">
        <v>84</v>
      </c>
      <c r="B1" s="307"/>
      <c r="C1" s="307"/>
    </row>
    <row r="2" spans="1:11" s="15" customFormat="1" ht="30" customHeight="1" x14ac:dyDescent="0.25">
      <c r="A2" s="326" t="s">
        <v>85</v>
      </c>
      <c r="B2" s="329"/>
      <c r="C2" s="327"/>
      <c r="D2" s="14"/>
      <c r="E2" s="14"/>
      <c r="F2" s="14"/>
      <c r="G2" s="14"/>
      <c r="H2" s="14"/>
      <c r="I2" s="14"/>
      <c r="J2" s="14"/>
      <c r="K2" s="14"/>
    </row>
    <row r="3" spans="1:11" ht="258" customHeight="1" x14ac:dyDescent="0.25">
      <c r="A3" s="330"/>
      <c r="B3" s="331"/>
      <c r="C3" s="332"/>
    </row>
    <row r="4" spans="1:11" ht="30" customHeight="1" x14ac:dyDescent="0.25">
      <c r="A4" s="326" t="s">
        <v>90</v>
      </c>
      <c r="B4" s="329"/>
      <c r="C4" s="327"/>
    </row>
    <row r="5" spans="1:11" ht="258" customHeight="1" x14ac:dyDescent="0.25">
      <c r="A5" s="330"/>
      <c r="B5" s="331"/>
      <c r="C5" s="332"/>
      <c r="G5"/>
      <c r="H5"/>
      <c r="I5"/>
      <c r="J5"/>
      <c r="K5"/>
    </row>
    <row r="6" spans="1:11" x14ac:dyDescent="0.25">
      <c r="A6" s="13"/>
      <c r="B6" s="13"/>
      <c r="C6" s="13"/>
      <c r="G6"/>
      <c r="H6"/>
      <c r="I6"/>
      <c r="J6"/>
      <c r="K6"/>
    </row>
    <row r="7" spans="1:11" x14ac:dyDescent="0.25">
      <c r="A7" s="13"/>
      <c r="B7" s="13"/>
      <c r="C7" s="13"/>
      <c r="G7"/>
      <c r="H7"/>
      <c r="I7"/>
      <c r="J7"/>
      <c r="K7"/>
    </row>
    <row r="8" spans="1:11" x14ac:dyDescent="0.25">
      <c r="A8" s="13"/>
      <c r="B8" s="13"/>
      <c r="C8" s="13"/>
      <c r="G8"/>
      <c r="H8"/>
      <c r="I8"/>
      <c r="J8"/>
      <c r="K8"/>
    </row>
    <row r="9" spans="1:11" x14ac:dyDescent="0.25">
      <c r="A9" s="13"/>
      <c r="B9" s="13"/>
      <c r="C9" s="13"/>
      <c r="G9"/>
      <c r="H9"/>
      <c r="I9"/>
      <c r="J9"/>
      <c r="K9"/>
    </row>
    <row r="10" spans="1:11" x14ac:dyDescent="0.25">
      <c r="A10" s="13"/>
      <c r="B10" s="13"/>
      <c r="C10" s="13"/>
      <c r="G10"/>
      <c r="H10"/>
      <c r="I10"/>
      <c r="J10"/>
      <c r="K10"/>
    </row>
    <row r="11" spans="1:11" x14ac:dyDescent="0.25">
      <c r="C11" s="21"/>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vt:lpstr>
      <vt:lpstr>Evaluacion</vt:lpstr>
      <vt:lpstr>Tabla de puntuación</vt:lpstr>
      <vt:lpstr>Segunda condicionante</vt:lpstr>
      <vt:lpstr>Calificacion</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2014-11-05T17:48:31Z</cp:lastPrinted>
  <dcterms:created xsi:type="dcterms:W3CDTF">2014-10-13T14:49:42Z</dcterms:created>
  <dcterms:modified xsi:type="dcterms:W3CDTF">2016-10-10T19:17:49Z</dcterms:modified>
</cp:coreProperties>
</file>