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alr\Desktop\"/>
    </mc:Choice>
  </mc:AlternateContent>
  <bookViews>
    <workbookView xWindow="0" yWindow="0" windowWidth="24000" windowHeight="9135"/>
  </bookViews>
  <sheets>
    <sheet name="Instrucciones" sheetId="4" r:id="rId1"/>
    <sheet name="Solicitud de Adhesión" sheetId="11" r:id="rId2"/>
    <sheet name="Evaluacion" sheetId="1" r:id="rId3"/>
    <sheet name="Calificacion" sheetId="10" r:id="rId4"/>
    <sheet name="Segunda condicionante" sheetId="15" r:id="rId5"/>
    <sheet name="Tabla de puntuación" sheetId="16" r:id="rId6"/>
    <sheet name="Marco Legal y Normativo" sheetId="13" r:id="rId7"/>
    <sheet name="Referentes" sheetId="5" r:id="rId8"/>
    <sheet name="Evaluación segunda condicionant" sheetId="14" r:id="rId9"/>
    <sheet name="Comentarios" sheetId="12" r:id="rId10"/>
  </sheets>
  <externalReferences>
    <externalReference r:id="rId11"/>
  </externalReferences>
  <definedNames>
    <definedName name="_xlnm.Print_Area" localSheetId="3">Calificacion!$A$1:$B$7</definedName>
    <definedName name="_xlnm.Print_Area" localSheetId="9">Comentarios!$A$1:$B$3</definedName>
    <definedName name="_xlnm.Print_Area" localSheetId="2">Evaluacion!$A$1:$AE$98</definedName>
    <definedName name="_xlnm.Print_Area" localSheetId="0">Instrucciones!$A$1:$I$10</definedName>
    <definedName name="_xlnm.Print_Area" localSheetId="6">'Marco Legal y Normativo'!$A$1:$B$58</definedName>
    <definedName name="_xlnm.Print_Area" localSheetId="7">Referentes!$A$1:$B$68</definedName>
    <definedName name="_xlnm.Print_Area" localSheetId="1">'Solicitud de Adhesión'!$A$1:$F$37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07" i="1" l="1"/>
  <c r="U107" i="1"/>
  <c r="T107" i="1"/>
  <c r="S107" i="1"/>
  <c r="R107" i="1"/>
  <c r="R106" i="1"/>
  <c r="S106" i="1"/>
  <c r="T106" i="1"/>
  <c r="U106" i="1"/>
  <c r="V106" i="1"/>
  <c r="V105" i="1"/>
  <c r="U105" i="1"/>
  <c r="T105" i="1"/>
  <c r="S105" i="1"/>
  <c r="R105" i="1"/>
  <c r="V104" i="1"/>
  <c r="U104" i="1"/>
  <c r="T104" i="1"/>
  <c r="S104" i="1"/>
  <c r="R104" i="1"/>
  <c r="V103" i="1"/>
  <c r="U103" i="1"/>
  <c r="T103" i="1"/>
  <c r="S103" i="1"/>
  <c r="R103" i="1"/>
  <c r="V102" i="1"/>
  <c r="U102" i="1"/>
  <c r="T102" i="1"/>
  <c r="S102" i="1"/>
  <c r="R102" i="1"/>
  <c r="V99" i="1"/>
  <c r="U99" i="1"/>
  <c r="T99" i="1"/>
  <c r="S99" i="1"/>
  <c r="R99" i="1"/>
  <c r="V100" i="1"/>
  <c r="U100" i="1"/>
  <c r="T100" i="1"/>
  <c r="S100" i="1"/>
  <c r="R100" i="1"/>
  <c r="V83" i="1"/>
  <c r="U83" i="1"/>
  <c r="T83" i="1"/>
  <c r="S83" i="1"/>
  <c r="R83" i="1"/>
  <c r="V82" i="1"/>
  <c r="U82" i="1"/>
  <c r="T82" i="1"/>
  <c r="S82" i="1"/>
  <c r="R82" i="1"/>
  <c r="V81" i="1"/>
  <c r="U81" i="1"/>
  <c r="T81" i="1"/>
  <c r="S81" i="1"/>
  <c r="R81" i="1"/>
  <c r="R84" i="1"/>
  <c r="S84" i="1"/>
  <c r="T84" i="1"/>
  <c r="U84" i="1"/>
  <c r="V84" i="1"/>
  <c r="R85" i="1"/>
  <c r="S85" i="1"/>
  <c r="T85" i="1"/>
  <c r="U85" i="1"/>
  <c r="V85" i="1"/>
  <c r="V80" i="1"/>
  <c r="U80" i="1"/>
  <c r="T80" i="1"/>
  <c r="S80" i="1"/>
  <c r="R80" i="1"/>
  <c r="V79" i="1"/>
  <c r="U79" i="1"/>
  <c r="T79" i="1"/>
  <c r="S79" i="1"/>
  <c r="R79" i="1"/>
  <c r="V78" i="1"/>
  <c r="U78" i="1"/>
  <c r="T78" i="1"/>
  <c r="S78" i="1"/>
  <c r="R78" i="1"/>
  <c r="V77" i="1"/>
  <c r="U77" i="1"/>
  <c r="T77" i="1"/>
  <c r="S77" i="1"/>
  <c r="R77" i="1"/>
  <c r="V76" i="1"/>
  <c r="U76" i="1"/>
  <c r="T76" i="1"/>
  <c r="S76" i="1"/>
  <c r="R76" i="1"/>
  <c r="V75" i="1"/>
  <c r="U75" i="1"/>
  <c r="T75" i="1"/>
  <c r="S75" i="1"/>
  <c r="R75" i="1"/>
  <c r="U108" i="1" l="1"/>
  <c r="T108" i="1"/>
  <c r="S108" i="1"/>
  <c r="V108" i="1"/>
  <c r="R108" i="1"/>
  <c r="U101" i="1"/>
  <c r="T101" i="1"/>
  <c r="S101" i="1"/>
  <c r="V101" i="1"/>
  <c r="R101" i="1"/>
  <c r="V97" i="1"/>
  <c r="U97" i="1"/>
  <c r="T97" i="1"/>
  <c r="S97" i="1"/>
  <c r="R97" i="1"/>
  <c r="U98" i="1"/>
  <c r="T98" i="1"/>
  <c r="S98" i="1"/>
  <c r="V98" i="1"/>
  <c r="R98" i="1"/>
  <c r="U96" i="1"/>
  <c r="T96" i="1"/>
  <c r="S96" i="1"/>
  <c r="R96" i="1"/>
  <c r="V96" i="1" l="1"/>
  <c r="U95" i="1"/>
  <c r="T95" i="1"/>
  <c r="S95" i="1"/>
  <c r="R95" i="1"/>
  <c r="V95" i="1"/>
  <c r="U94" i="1"/>
  <c r="T94" i="1"/>
  <c r="S94" i="1"/>
  <c r="R94" i="1"/>
  <c r="V94" i="1"/>
  <c r="U93" i="1"/>
  <c r="T93" i="1"/>
  <c r="S93" i="1"/>
  <c r="R93" i="1"/>
  <c r="V93" i="1"/>
  <c r="V92" i="1"/>
  <c r="U92" i="1"/>
  <c r="T92" i="1"/>
  <c r="S92" i="1"/>
  <c r="R92" i="1"/>
  <c r="V91" i="1"/>
  <c r="U91" i="1"/>
  <c r="T91" i="1"/>
  <c r="S91" i="1"/>
  <c r="R91" i="1"/>
  <c r="V90" i="1"/>
  <c r="U90" i="1"/>
  <c r="T90" i="1"/>
  <c r="S90" i="1"/>
  <c r="R90" i="1"/>
  <c r="U89" i="1"/>
  <c r="T89" i="1"/>
  <c r="S89" i="1"/>
  <c r="R89" i="1"/>
  <c r="V89" i="1"/>
  <c r="V88" i="1"/>
  <c r="U88" i="1"/>
  <c r="T88" i="1"/>
  <c r="S88" i="1"/>
  <c r="R88" i="1"/>
  <c r="V87" i="1"/>
  <c r="U87" i="1"/>
  <c r="T87" i="1"/>
  <c r="S87" i="1"/>
  <c r="R87" i="1"/>
  <c r="U86" i="1"/>
  <c r="T86" i="1"/>
  <c r="S86" i="1"/>
  <c r="R86" i="1"/>
  <c r="V86" i="1"/>
  <c r="U74" i="1"/>
  <c r="T74" i="1"/>
  <c r="S74" i="1"/>
  <c r="R74" i="1"/>
  <c r="V74" i="1"/>
  <c r="V73" i="1"/>
  <c r="U73" i="1"/>
  <c r="T73" i="1"/>
  <c r="S73" i="1"/>
  <c r="R73" i="1"/>
  <c r="V72" i="1"/>
  <c r="U72" i="1"/>
  <c r="T72" i="1"/>
  <c r="S72" i="1"/>
  <c r="R72" i="1"/>
  <c r="U71" i="1"/>
  <c r="T71" i="1"/>
  <c r="S71" i="1"/>
  <c r="R71" i="1"/>
  <c r="V71" i="1"/>
  <c r="U70" i="1"/>
  <c r="T70" i="1"/>
  <c r="S70" i="1"/>
  <c r="R70" i="1"/>
  <c r="V70" i="1"/>
  <c r="U69" i="1"/>
  <c r="T69" i="1"/>
  <c r="S69" i="1"/>
  <c r="R69" i="1"/>
  <c r="V69" i="1"/>
  <c r="V68" i="1"/>
  <c r="U68" i="1"/>
  <c r="T68" i="1"/>
  <c r="S68" i="1"/>
  <c r="R68" i="1"/>
  <c r="V67" i="1"/>
  <c r="U67" i="1"/>
  <c r="T67" i="1"/>
  <c r="S67" i="1"/>
  <c r="R67" i="1"/>
  <c r="V66" i="1"/>
  <c r="U66" i="1"/>
  <c r="T66" i="1"/>
  <c r="S66" i="1"/>
  <c r="R66" i="1"/>
  <c r="V65" i="1"/>
  <c r="U65" i="1"/>
  <c r="T65" i="1"/>
  <c r="S65" i="1"/>
  <c r="R65" i="1"/>
  <c r="U64" i="1"/>
  <c r="T64" i="1"/>
  <c r="S64" i="1"/>
  <c r="R64" i="1"/>
  <c r="V64" i="1"/>
  <c r="V63" i="1"/>
  <c r="U63" i="1"/>
  <c r="T63" i="1"/>
  <c r="S63" i="1"/>
  <c r="R63" i="1"/>
  <c r="V62" i="1"/>
  <c r="U62" i="1"/>
  <c r="T62" i="1"/>
  <c r="S62" i="1"/>
  <c r="R62" i="1"/>
  <c r="V61" i="1"/>
  <c r="U61" i="1"/>
  <c r="T61" i="1"/>
  <c r="S61" i="1"/>
  <c r="R61" i="1"/>
  <c r="V60" i="1"/>
  <c r="U60" i="1"/>
  <c r="T60" i="1"/>
  <c r="S60" i="1"/>
  <c r="R60" i="1"/>
  <c r="V59" i="1"/>
  <c r="U59" i="1"/>
  <c r="T59" i="1"/>
  <c r="S59" i="1"/>
  <c r="R59" i="1"/>
  <c r="V58" i="1"/>
  <c r="U58" i="1"/>
  <c r="T58" i="1"/>
  <c r="S58" i="1"/>
  <c r="R58" i="1"/>
  <c r="V57" i="1"/>
  <c r="U57" i="1"/>
  <c r="T57" i="1"/>
  <c r="S57" i="1"/>
  <c r="R57" i="1"/>
  <c r="V56" i="1"/>
  <c r="U56" i="1"/>
  <c r="T56" i="1"/>
  <c r="S56" i="1"/>
  <c r="R56" i="1"/>
  <c r="V55" i="1"/>
  <c r="U55" i="1"/>
  <c r="T55" i="1"/>
  <c r="S55" i="1"/>
  <c r="R55" i="1"/>
  <c r="V54" i="1"/>
  <c r="U54" i="1"/>
  <c r="T54" i="1"/>
  <c r="S54" i="1"/>
  <c r="R54" i="1"/>
  <c r="V53" i="1"/>
  <c r="U53" i="1"/>
  <c r="T53" i="1"/>
  <c r="S53" i="1"/>
  <c r="R53" i="1"/>
  <c r="U52" i="1"/>
  <c r="T52" i="1"/>
  <c r="S52" i="1"/>
  <c r="R52" i="1"/>
  <c r="V52" i="1"/>
  <c r="V51" i="1"/>
  <c r="U51" i="1"/>
  <c r="T51" i="1"/>
  <c r="S51" i="1"/>
  <c r="R51" i="1"/>
  <c r="V50" i="1"/>
  <c r="U50" i="1"/>
  <c r="T50" i="1"/>
  <c r="S50" i="1"/>
  <c r="R50" i="1"/>
  <c r="V49" i="1"/>
  <c r="U49" i="1"/>
  <c r="T49" i="1"/>
  <c r="S49" i="1"/>
  <c r="R49" i="1"/>
  <c r="V48" i="1"/>
  <c r="U48" i="1"/>
  <c r="T48" i="1"/>
  <c r="S48" i="1"/>
  <c r="R48" i="1"/>
  <c r="V47" i="1"/>
  <c r="U47" i="1"/>
  <c r="T47" i="1"/>
  <c r="S47" i="1"/>
  <c r="R47" i="1"/>
  <c r="V46" i="1"/>
  <c r="U46" i="1"/>
  <c r="T46" i="1"/>
  <c r="S46" i="1"/>
  <c r="R46" i="1"/>
  <c r="U45" i="1"/>
  <c r="T45" i="1"/>
  <c r="S45" i="1"/>
  <c r="R45" i="1"/>
  <c r="V45" i="1"/>
  <c r="V44" i="1"/>
  <c r="U44" i="1"/>
  <c r="T44" i="1"/>
  <c r="S44" i="1"/>
  <c r="R44" i="1"/>
  <c r="V43" i="1"/>
  <c r="U43" i="1"/>
  <c r="T43" i="1"/>
  <c r="S43" i="1"/>
  <c r="R43" i="1"/>
  <c r="V42" i="1"/>
  <c r="U42" i="1"/>
  <c r="T42" i="1"/>
  <c r="S42" i="1"/>
  <c r="R42" i="1"/>
  <c r="V41" i="1"/>
  <c r="U41" i="1"/>
  <c r="T41" i="1"/>
  <c r="S41" i="1"/>
  <c r="R41" i="1"/>
  <c r="V40" i="1"/>
  <c r="U40" i="1"/>
  <c r="T40" i="1"/>
  <c r="S40" i="1"/>
  <c r="R40" i="1"/>
  <c r="V39" i="1"/>
  <c r="U39" i="1"/>
  <c r="T39" i="1"/>
  <c r="S39" i="1"/>
  <c r="R39" i="1"/>
  <c r="V38" i="1"/>
  <c r="U38" i="1"/>
  <c r="T38" i="1"/>
  <c r="S38" i="1"/>
  <c r="R38" i="1"/>
  <c r="V37" i="1"/>
  <c r="U37" i="1"/>
  <c r="T37" i="1"/>
  <c r="S37" i="1"/>
  <c r="R37" i="1"/>
  <c r="V36" i="1"/>
  <c r="U36" i="1"/>
  <c r="T36" i="1"/>
  <c r="S36" i="1"/>
  <c r="R36" i="1"/>
  <c r="V35" i="1"/>
  <c r="U35" i="1"/>
  <c r="T35" i="1"/>
  <c r="S35" i="1"/>
  <c r="R35" i="1"/>
  <c r="V34" i="1"/>
  <c r="U34" i="1"/>
  <c r="T34" i="1"/>
  <c r="S34" i="1"/>
  <c r="R34" i="1"/>
  <c r="V33" i="1"/>
  <c r="U33" i="1"/>
  <c r="T33" i="1"/>
  <c r="S33" i="1"/>
  <c r="R33" i="1"/>
  <c r="V32" i="1"/>
  <c r="U32" i="1"/>
  <c r="T32" i="1"/>
  <c r="S32" i="1"/>
  <c r="R32" i="1"/>
  <c r="V31" i="1"/>
  <c r="U31" i="1"/>
  <c r="T31" i="1"/>
  <c r="S31" i="1"/>
  <c r="R31" i="1"/>
  <c r="V30" i="1"/>
  <c r="U30" i="1"/>
  <c r="T30" i="1"/>
  <c r="S30" i="1"/>
  <c r="R30" i="1"/>
  <c r="V29" i="1"/>
  <c r="U29" i="1"/>
  <c r="T29" i="1"/>
  <c r="S29" i="1"/>
  <c r="R29" i="1"/>
  <c r="V28" i="1"/>
  <c r="U28" i="1"/>
  <c r="T28" i="1"/>
  <c r="S28" i="1"/>
  <c r="R28" i="1"/>
  <c r="V27" i="1"/>
  <c r="U27" i="1"/>
  <c r="T27" i="1"/>
  <c r="S27" i="1"/>
  <c r="R27" i="1"/>
  <c r="V26" i="1"/>
  <c r="U26" i="1"/>
  <c r="T26" i="1"/>
  <c r="S26" i="1"/>
  <c r="R26" i="1"/>
  <c r="V25" i="1"/>
  <c r="U25" i="1"/>
  <c r="T25" i="1"/>
  <c r="S25" i="1"/>
  <c r="R25" i="1"/>
  <c r="V24" i="1"/>
  <c r="U24" i="1"/>
  <c r="T24" i="1"/>
  <c r="S24" i="1"/>
  <c r="R24" i="1"/>
  <c r="V23" i="1"/>
  <c r="U23" i="1"/>
  <c r="T23" i="1"/>
  <c r="S23" i="1"/>
  <c r="R23" i="1"/>
  <c r="U22" i="1"/>
  <c r="T22" i="1"/>
  <c r="S22" i="1"/>
  <c r="R22" i="1"/>
  <c r="U21" i="1"/>
  <c r="T21" i="1"/>
  <c r="S21" i="1"/>
  <c r="R21" i="1"/>
  <c r="U20" i="1"/>
  <c r="T20" i="1"/>
  <c r="S20" i="1"/>
  <c r="R20" i="1"/>
  <c r="U19" i="1"/>
  <c r="T19" i="1"/>
  <c r="S19" i="1"/>
  <c r="R19" i="1"/>
  <c r="U18" i="1"/>
  <c r="T18" i="1"/>
  <c r="S18" i="1"/>
  <c r="R18" i="1"/>
  <c r="U17" i="1"/>
  <c r="T17" i="1"/>
  <c r="S17" i="1"/>
  <c r="R17" i="1"/>
  <c r="U16" i="1"/>
  <c r="T16" i="1"/>
  <c r="S16" i="1"/>
  <c r="R16" i="1"/>
  <c r="U15" i="1"/>
  <c r="T15" i="1"/>
  <c r="S15" i="1"/>
  <c r="R15" i="1"/>
  <c r="U14" i="1"/>
  <c r="T14" i="1"/>
  <c r="S14" i="1"/>
  <c r="R14" i="1"/>
  <c r="U13" i="1"/>
  <c r="T13" i="1"/>
  <c r="S13" i="1"/>
  <c r="R13" i="1"/>
  <c r="U12" i="1"/>
  <c r="T12" i="1"/>
  <c r="S12" i="1"/>
  <c r="R12" i="1"/>
  <c r="U11" i="1"/>
  <c r="T11" i="1"/>
  <c r="S11" i="1"/>
  <c r="R11" i="1"/>
  <c r="U10" i="1"/>
  <c r="T10" i="1"/>
  <c r="S10" i="1"/>
  <c r="R10" i="1"/>
  <c r="U9" i="1"/>
  <c r="T9" i="1"/>
  <c r="S9" i="1"/>
  <c r="R9" i="1"/>
  <c r="U8" i="1"/>
  <c r="T8" i="1"/>
  <c r="S8" i="1"/>
  <c r="R8" i="1"/>
  <c r="U7" i="1"/>
  <c r="T7" i="1"/>
  <c r="S7" i="1"/>
  <c r="R7" i="1"/>
  <c r="U6" i="1"/>
  <c r="T6" i="1"/>
  <c r="S6" i="1"/>
  <c r="R6" i="1"/>
  <c r="V5" i="1"/>
  <c r="U5" i="1"/>
  <c r="T5" i="1"/>
  <c r="S5" i="1"/>
  <c r="R5" i="1"/>
  <c r="C17" i="16" l="1"/>
  <c r="D17" i="16"/>
  <c r="A6" i="15"/>
  <c r="AB69" i="1"/>
  <c r="A6" i="14"/>
  <c r="Y108" i="1"/>
  <c r="AC108" i="1"/>
  <c r="X108" i="1"/>
  <c r="AC107" i="1"/>
  <c r="AB107" i="1"/>
  <c r="AA107" i="1"/>
  <c r="Z107" i="1"/>
  <c r="AD107" i="1" s="1"/>
  <c r="Y107" i="1"/>
  <c r="X107" i="1"/>
  <c r="AC106" i="1"/>
  <c r="AB106" i="1"/>
  <c r="AA106" i="1"/>
  <c r="Z106" i="1"/>
  <c r="Y106" i="1"/>
  <c r="X106" i="1"/>
  <c r="AC105" i="1"/>
  <c r="AB105" i="1"/>
  <c r="AA105" i="1"/>
  <c r="Z105" i="1"/>
  <c r="Y105" i="1"/>
  <c r="X105" i="1"/>
  <c r="AC104" i="1"/>
  <c r="AB104" i="1"/>
  <c r="AA104" i="1"/>
  <c r="Z104" i="1"/>
  <c r="Y104" i="1"/>
  <c r="X104" i="1"/>
  <c r="AC103" i="1"/>
  <c r="AB103" i="1"/>
  <c r="AA103" i="1"/>
  <c r="Z103" i="1"/>
  <c r="Y103" i="1"/>
  <c r="X103" i="1"/>
  <c r="AB108" i="1"/>
  <c r="Z108" i="1"/>
  <c r="AA108" i="1"/>
  <c r="AC102" i="1"/>
  <c r="AB102" i="1"/>
  <c r="AA102" i="1"/>
  <c r="AD102" i="1" s="1"/>
  <c r="Z102" i="1"/>
  <c r="Y102" i="1"/>
  <c r="X102" i="1"/>
  <c r="AC101" i="1"/>
  <c r="AB101" i="1"/>
  <c r="AA101" i="1"/>
  <c r="Z101" i="1"/>
  <c r="Y101" i="1"/>
  <c r="X101" i="1"/>
  <c r="AC100" i="1"/>
  <c r="AB100" i="1"/>
  <c r="AA100" i="1"/>
  <c r="Z100" i="1"/>
  <c r="Y100" i="1"/>
  <c r="X100" i="1"/>
  <c r="AC99" i="1"/>
  <c r="AB99" i="1"/>
  <c r="AA99" i="1"/>
  <c r="Z99" i="1"/>
  <c r="Y99" i="1"/>
  <c r="X99" i="1"/>
  <c r="AC98" i="1"/>
  <c r="AB98" i="1"/>
  <c r="AA98" i="1"/>
  <c r="Z98" i="1"/>
  <c r="Y98" i="1"/>
  <c r="X98" i="1"/>
  <c r="AC97" i="1"/>
  <c r="AB97" i="1"/>
  <c r="AA97" i="1"/>
  <c r="Z97" i="1"/>
  <c r="Y97" i="1"/>
  <c r="X97" i="1"/>
  <c r="AC96" i="1"/>
  <c r="AC95" i="1"/>
  <c r="AB96" i="1"/>
  <c r="X96" i="1"/>
  <c r="AB95" i="1"/>
  <c r="X95" i="1"/>
  <c r="AC94" i="1"/>
  <c r="AC93" i="1"/>
  <c r="X94" i="1"/>
  <c r="AB93" i="1"/>
  <c r="AA93" i="1"/>
  <c r="AC60" i="1"/>
  <c r="AB60" i="1"/>
  <c r="AA60" i="1"/>
  <c r="AD60" i="1" s="1"/>
  <c r="Z60" i="1"/>
  <c r="Y60" i="1"/>
  <c r="X60" i="1"/>
  <c r="X5" i="1"/>
  <c r="Y5" i="1"/>
  <c r="Z5" i="1"/>
  <c r="AA5" i="1"/>
  <c r="AB5" i="1"/>
  <c r="AD5" i="1" s="1"/>
  <c r="AC5" i="1"/>
  <c r="X6" i="1"/>
  <c r="Y6" i="1"/>
  <c r="Z6" i="1"/>
  <c r="AA6" i="1"/>
  <c r="AB6" i="1"/>
  <c r="AC6" i="1"/>
  <c r="X7" i="1"/>
  <c r="Y7" i="1"/>
  <c r="AD7" i="1" s="1"/>
  <c r="Z7" i="1"/>
  <c r="AA7" i="1"/>
  <c r="AB7" i="1"/>
  <c r="AC7" i="1"/>
  <c r="X8" i="1"/>
  <c r="Y8" i="1"/>
  <c r="Z8" i="1"/>
  <c r="AD8" i="1" s="1"/>
  <c r="AA8" i="1"/>
  <c r="AB8" i="1"/>
  <c r="AC8" i="1"/>
  <c r="X9" i="1"/>
  <c r="Y9" i="1"/>
  <c r="Z9" i="1"/>
  <c r="AA9" i="1"/>
  <c r="AB9" i="1"/>
  <c r="AD9" i="1" s="1"/>
  <c r="AC9" i="1"/>
  <c r="X10" i="1"/>
  <c r="Y10" i="1"/>
  <c r="Z10" i="1"/>
  <c r="AA10" i="1"/>
  <c r="AB10" i="1"/>
  <c r="AC10" i="1"/>
  <c r="X11" i="1"/>
  <c r="Y11" i="1"/>
  <c r="AD11" i="1" s="1"/>
  <c r="Z11" i="1"/>
  <c r="AA11" i="1"/>
  <c r="AB11" i="1"/>
  <c r="AC11" i="1"/>
  <c r="X12" i="1"/>
  <c r="Y12" i="1"/>
  <c r="Z12" i="1"/>
  <c r="AD12" i="1" s="1"/>
  <c r="AA12" i="1"/>
  <c r="AB12" i="1"/>
  <c r="AC12" i="1"/>
  <c r="X13" i="1"/>
  <c r="Y13" i="1"/>
  <c r="Z13" i="1"/>
  <c r="AA13" i="1"/>
  <c r="AB13" i="1"/>
  <c r="AD13" i="1" s="1"/>
  <c r="AC13" i="1"/>
  <c r="X14" i="1"/>
  <c r="Y14" i="1"/>
  <c r="Z14" i="1"/>
  <c r="AA14" i="1"/>
  <c r="AB14" i="1"/>
  <c r="AC14" i="1"/>
  <c r="X15" i="1"/>
  <c r="Y15" i="1"/>
  <c r="AD15" i="1" s="1"/>
  <c r="Z15" i="1"/>
  <c r="AA15" i="1"/>
  <c r="AB15" i="1"/>
  <c r="AC15" i="1"/>
  <c r="X16" i="1"/>
  <c r="Y16" i="1"/>
  <c r="Z16" i="1"/>
  <c r="AD16" i="1" s="1"/>
  <c r="AA16" i="1"/>
  <c r="AB16" i="1"/>
  <c r="AC16" i="1"/>
  <c r="X17" i="1"/>
  <c r="Y17" i="1"/>
  <c r="Z17" i="1"/>
  <c r="AA17" i="1"/>
  <c r="AB17" i="1"/>
  <c r="AD17" i="1" s="1"/>
  <c r="AC17" i="1"/>
  <c r="X18" i="1"/>
  <c r="Y18" i="1"/>
  <c r="Z18" i="1"/>
  <c r="AA18" i="1"/>
  <c r="AB18" i="1"/>
  <c r="AC18" i="1"/>
  <c r="X19" i="1"/>
  <c r="Y19" i="1"/>
  <c r="AD19" i="1" s="1"/>
  <c r="Z19" i="1"/>
  <c r="AA19" i="1"/>
  <c r="AB19" i="1"/>
  <c r="AC19" i="1"/>
  <c r="X20" i="1"/>
  <c r="Y20" i="1"/>
  <c r="Z20" i="1"/>
  <c r="AA20" i="1"/>
  <c r="AB20" i="1"/>
  <c r="AC20" i="1"/>
  <c r="X21" i="1"/>
  <c r="Y21" i="1"/>
  <c r="Z21" i="1"/>
  <c r="AA21" i="1"/>
  <c r="AB21" i="1"/>
  <c r="AD21" i="1" s="1"/>
  <c r="AC21" i="1"/>
  <c r="X22" i="1"/>
  <c r="Y22" i="1"/>
  <c r="Z22" i="1"/>
  <c r="AA22" i="1"/>
  <c r="AB22" i="1"/>
  <c r="AC22" i="1"/>
  <c r="X23" i="1"/>
  <c r="Y23" i="1"/>
  <c r="Z23" i="1"/>
  <c r="AA23" i="1"/>
  <c r="AB23" i="1"/>
  <c r="AC23" i="1"/>
  <c r="X24" i="1"/>
  <c r="Y24" i="1"/>
  <c r="Z24" i="1"/>
  <c r="AA24" i="1"/>
  <c r="AB24" i="1"/>
  <c r="AD24" i="1" s="1"/>
  <c r="AC24" i="1"/>
  <c r="X25" i="1"/>
  <c r="Y25" i="1"/>
  <c r="Z25" i="1"/>
  <c r="AA25" i="1"/>
  <c r="AB25" i="1"/>
  <c r="AC25" i="1"/>
  <c r="X26" i="1"/>
  <c r="Y26" i="1"/>
  <c r="Z26" i="1"/>
  <c r="AD26" i="1" s="1"/>
  <c r="AA26" i="1"/>
  <c r="AB26" i="1"/>
  <c r="AC26" i="1"/>
  <c r="X27" i="1"/>
  <c r="Y27" i="1"/>
  <c r="Z27" i="1"/>
  <c r="AD27" i="1" s="1"/>
  <c r="AA27" i="1"/>
  <c r="AB27" i="1"/>
  <c r="AC27" i="1"/>
  <c r="X28" i="1"/>
  <c r="Y28" i="1"/>
  <c r="Z28" i="1"/>
  <c r="AA28" i="1"/>
  <c r="AD28" i="1" s="1"/>
  <c r="AB28" i="1"/>
  <c r="AC28" i="1"/>
  <c r="X29" i="1"/>
  <c r="Y29" i="1"/>
  <c r="Z29" i="1"/>
  <c r="AA29" i="1"/>
  <c r="AB29" i="1"/>
  <c r="AC29" i="1"/>
  <c r="X30" i="1"/>
  <c r="Y30" i="1"/>
  <c r="Z30" i="1"/>
  <c r="AA30" i="1"/>
  <c r="AB30" i="1"/>
  <c r="AC30" i="1"/>
  <c r="X31" i="1"/>
  <c r="Y31" i="1"/>
  <c r="Z31" i="1"/>
  <c r="AA31" i="1"/>
  <c r="AB31" i="1"/>
  <c r="AC31" i="1"/>
  <c r="X32" i="1"/>
  <c r="Y32" i="1"/>
  <c r="Z32" i="1"/>
  <c r="AA32" i="1"/>
  <c r="AB32" i="1"/>
  <c r="AC32" i="1"/>
  <c r="X33" i="1"/>
  <c r="Y33" i="1"/>
  <c r="Z33" i="1"/>
  <c r="AD33" i="1" s="1"/>
  <c r="AA33" i="1"/>
  <c r="AB33" i="1"/>
  <c r="AC33" i="1"/>
  <c r="X34" i="1"/>
  <c r="Y34" i="1"/>
  <c r="Z34" i="1"/>
  <c r="AA34" i="1"/>
  <c r="AB34" i="1"/>
  <c r="AD34" i="1" s="1"/>
  <c r="AC34" i="1"/>
  <c r="X35" i="1"/>
  <c r="Y35" i="1"/>
  <c r="Z35" i="1"/>
  <c r="AA35" i="1"/>
  <c r="AB35" i="1"/>
  <c r="AC35" i="1"/>
  <c r="X36" i="1"/>
  <c r="Y36" i="1"/>
  <c r="Z36" i="1"/>
  <c r="AA36" i="1"/>
  <c r="AB36" i="1"/>
  <c r="AC36" i="1"/>
  <c r="X37" i="1"/>
  <c r="Y37" i="1"/>
  <c r="Z37" i="1"/>
  <c r="AD37" i="1" s="1"/>
  <c r="AA37" i="1"/>
  <c r="AB37" i="1"/>
  <c r="AC37" i="1"/>
  <c r="X38" i="1"/>
  <c r="Y38" i="1"/>
  <c r="Z38" i="1"/>
  <c r="AA38" i="1"/>
  <c r="AB38" i="1"/>
  <c r="AD38" i="1" s="1"/>
  <c r="AC38" i="1"/>
  <c r="X39" i="1"/>
  <c r="Y39" i="1"/>
  <c r="Z39" i="1"/>
  <c r="AA39" i="1"/>
  <c r="AB39" i="1"/>
  <c r="AC39" i="1"/>
  <c r="X40" i="1"/>
  <c r="Y40" i="1"/>
  <c r="Z40" i="1"/>
  <c r="AA40" i="1"/>
  <c r="AB40" i="1"/>
  <c r="AC40" i="1"/>
  <c r="X41" i="1"/>
  <c r="Y41" i="1"/>
  <c r="Z41" i="1"/>
  <c r="AA41" i="1"/>
  <c r="AB41" i="1"/>
  <c r="AC41" i="1"/>
  <c r="X42" i="1"/>
  <c r="Y42" i="1"/>
  <c r="Z42" i="1"/>
  <c r="AA42" i="1"/>
  <c r="AB42" i="1"/>
  <c r="AD42" i="1" s="1"/>
  <c r="AC42" i="1"/>
  <c r="X43" i="1"/>
  <c r="Y43" i="1"/>
  <c r="Z43" i="1"/>
  <c r="AA43" i="1"/>
  <c r="AB43" i="1"/>
  <c r="AC43" i="1"/>
  <c r="X44" i="1"/>
  <c r="Y44" i="1"/>
  <c r="Z44" i="1"/>
  <c r="AD44" i="1" s="1"/>
  <c r="AE44" i="1" s="1"/>
  <c r="AA44" i="1"/>
  <c r="AB44" i="1"/>
  <c r="AC44" i="1"/>
  <c r="X45" i="1"/>
  <c r="Y45" i="1"/>
  <c r="Z45" i="1"/>
  <c r="AD45" i="1" s="1"/>
  <c r="AA45" i="1"/>
  <c r="AB45" i="1"/>
  <c r="AC45" i="1"/>
  <c r="X46" i="1"/>
  <c r="Y46" i="1"/>
  <c r="Z46" i="1"/>
  <c r="AA46" i="1"/>
  <c r="AB46" i="1"/>
  <c r="AC46" i="1"/>
  <c r="X47" i="1"/>
  <c r="Y47" i="1"/>
  <c r="AD47" i="1" s="1"/>
  <c r="Z47" i="1"/>
  <c r="AA47" i="1"/>
  <c r="AB47" i="1"/>
  <c r="AC47" i="1"/>
  <c r="X48" i="1"/>
  <c r="Y48" i="1"/>
  <c r="Z48" i="1"/>
  <c r="AA48" i="1"/>
  <c r="AD48" i="1" s="1"/>
  <c r="AB48" i="1"/>
  <c r="AC48" i="1"/>
  <c r="X49" i="1"/>
  <c r="Y49" i="1"/>
  <c r="Z49" i="1"/>
  <c r="AA49" i="1"/>
  <c r="AB49" i="1"/>
  <c r="AC49" i="1"/>
  <c r="AD49" i="1" s="1"/>
  <c r="X50" i="1"/>
  <c r="Y50" i="1"/>
  <c r="AD50" i="1" s="1"/>
  <c r="Z50" i="1"/>
  <c r="AA50" i="1"/>
  <c r="AB50" i="1"/>
  <c r="AC50" i="1"/>
  <c r="X51" i="1"/>
  <c r="Y51" i="1"/>
  <c r="Z51" i="1"/>
  <c r="AA51" i="1"/>
  <c r="AB51" i="1"/>
  <c r="AC51" i="1"/>
  <c r="X52" i="1"/>
  <c r="Y52" i="1"/>
  <c r="Z52" i="1"/>
  <c r="AA52" i="1"/>
  <c r="AB52" i="1"/>
  <c r="AC52" i="1"/>
  <c r="X53" i="1"/>
  <c r="Y53" i="1"/>
  <c r="Z53" i="1"/>
  <c r="AA53" i="1"/>
  <c r="AB53" i="1"/>
  <c r="AC53" i="1"/>
  <c r="X54" i="1"/>
  <c r="Y54" i="1"/>
  <c r="Z54" i="1"/>
  <c r="AA54" i="1"/>
  <c r="AB54" i="1"/>
  <c r="AC54" i="1"/>
  <c r="X55" i="1"/>
  <c r="Y55" i="1"/>
  <c r="Z55" i="1"/>
  <c r="AD55" i="1" s="1"/>
  <c r="AA55" i="1"/>
  <c r="AB55" i="1"/>
  <c r="AC55" i="1"/>
  <c r="X56" i="1"/>
  <c r="Y56" i="1"/>
  <c r="Z56" i="1"/>
  <c r="AD56" i="1" s="1"/>
  <c r="AA56" i="1"/>
  <c r="AB56" i="1"/>
  <c r="AC56" i="1"/>
  <c r="X57" i="1"/>
  <c r="Y57" i="1"/>
  <c r="Z57" i="1"/>
  <c r="AA57" i="1"/>
  <c r="AB57" i="1"/>
  <c r="AC57" i="1"/>
  <c r="X58" i="1"/>
  <c r="Y58" i="1"/>
  <c r="Z58" i="1"/>
  <c r="AA58" i="1"/>
  <c r="AB58" i="1"/>
  <c r="AC58" i="1"/>
  <c r="X59" i="1"/>
  <c r="Y59" i="1"/>
  <c r="Z59" i="1"/>
  <c r="AD59" i="1" s="1"/>
  <c r="AA59" i="1"/>
  <c r="AB59" i="1"/>
  <c r="AC59" i="1"/>
  <c r="X61" i="1"/>
  <c r="Y61" i="1"/>
  <c r="Z61" i="1"/>
  <c r="AD61" i="1" s="1"/>
  <c r="AA61" i="1"/>
  <c r="AB61" i="1"/>
  <c r="AC61" i="1"/>
  <c r="X62" i="1"/>
  <c r="Y62" i="1"/>
  <c r="Z62" i="1"/>
  <c r="AA62" i="1"/>
  <c r="AB62" i="1"/>
  <c r="AC62" i="1"/>
  <c r="X63" i="1"/>
  <c r="Y63" i="1"/>
  <c r="Z63" i="1"/>
  <c r="AD63" i="1" s="1"/>
  <c r="AA63" i="1"/>
  <c r="AB63" i="1"/>
  <c r="AC63" i="1"/>
  <c r="X64" i="1"/>
  <c r="Y64" i="1"/>
  <c r="Z64" i="1"/>
  <c r="AA64" i="1"/>
  <c r="AB64" i="1"/>
  <c r="AC64" i="1"/>
  <c r="X65" i="1"/>
  <c r="Y65" i="1"/>
  <c r="AD65" i="1" s="1"/>
  <c r="Z65" i="1"/>
  <c r="AA65" i="1"/>
  <c r="AB65" i="1"/>
  <c r="AC65" i="1"/>
  <c r="X66" i="1"/>
  <c r="Y66" i="1"/>
  <c r="AD66" i="1" s="1"/>
  <c r="Z66" i="1"/>
  <c r="AA66" i="1"/>
  <c r="AB66" i="1"/>
  <c r="AC66" i="1"/>
  <c r="X67" i="1"/>
  <c r="Y67" i="1"/>
  <c r="AD67" i="1" s="1"/>
  <c r="Z67" i="1"/>
  <c r="AA67" i="1"/>
  <c r="AB67" i="1"/>
  <c r="AC67" i="1"/>
  <c r="X68" i="1"/>
  <c r="Y68" i="1"/>
  <c r="Z68" i="1"/>
  <c r="AA68" i="1"/>
  <c r="AB68" i="1"/>
  <c r="AC68" i="1"/>
  <c r="X69" i="1"/>
  <c r="Y69" i="1"/>
  <c r="Z69" i="1"/>
  <c r="AA69" i="1"/>
  <c r="AC69" i="1"/>
  <c r="X70" i="1"/>
  <c r="Y70" i="1"/>
  <c r="Z70" i="1"/>
  <c r="AA70" i="1"/>
  <c r="AB70" i="1"/>
  <c r="AC70" i="1"/>
  <c r="X71" i="1"/>
  <c r="Y71" i="1"/>
  <c r="Z71" i="1"/>
  <c r="AA71" i="1"/>
  <c r="AB71" i="1"/>
  <c r="AC71" i="1"/>
  <c r="X72" i="1"/>
  <c r="Y72" i="1"/>
  <c r="AD72" i="1" s="1"/>
  <c r="Z72" i="1"/>
  <c r="AA72" i="1"/>
  <c r="AB72" i="1"/>
  <c r="AC72" i="1"/>
  <c r="X73" i="1"/>
  <c r="Y73" i="1"/>
  <c r="Z73" i="1"/>
  <c r="AA73" i="1"/>
  <c r="AB73" i="1"/>
  <c r="AC73" i="1"/>
  <c r="X74" i="1"/>
  <c r="Y74" i="1"/>
  <c r="Z74" i="1"/>
  <c r="AA74" i="1"/>
  <c r="AB74" i="1"/>
  <c r="AD74" i="1" s="1"/>
  <c r="AC74" i="1"/>
  <c r="X75" i="1"/>
  <c r="Y75" i="1"/>
  <c r="Z75" i="1"/>
  <c r="AA75" i="1"/>
  <c r="AB75" i="1"/>
  <c r="AC75" i="1"/>
  <c r="X76" i="1"/>
  <c r="Y76" i="1"/>
  <c r="AD76" i="1" s="1"/>
  <c r="Z76" i="1"/>
  <c r="AA76" i="1"/>
  <c r="AB76" i="1"/>
  <c r="AC76" i="1"/>
  <c r="X77" i="1"/>
  <c r="Y77" i="1"/>
  <c r="Z77" i="1"/>
  <c r="AA77" i="1"/>
  <c r="AD77" i="1" s="1"/>
  <c r="AB77" i="1"/>
  <c r="AC77" i="1"/>
  <c r="X78" i="1"/>
  <c r="Y78" i="1"/>
  <c r="Z78" i="1"/>
  <c r="AA78" i="1"/>
  <c r="AB78" i="1"/>
  <c r="AC78" i="1"/>
  <c r="X79" i="1"/>
  <c r="Y79" i="1"/>
  <c r="Z79" i="1"/>
  <c r="AA79" i="1"/>
  <c r="AD79" i="1" s="1"/>
  <c r="AB79" i="1"/>
  <c r="AC79" i="1"/>
  <c r="X80" i="1"/>
  <c r="Y80" i="1"/>
  <c r="Z80" i="1"/>
  <c r="AA80" i="1"/>
  <c r="AB80" i="1"/>
  <c r="AC80" i="1"/>
  <c r="X81" i="1"/>
  <c r="Y81" i="1"/>
  <c r="Z81" i="1"/>
  <c r="AA81" i="1"/>
  <c r="AB81" i="1"/>
  <c r="AC81" i="1"/>
  <c r="X82" i="1"/>
  <c r="Y82" i="1"/>
  <c r="Z82" i="1"/>
  <c r="AA82" i="1"/>
  <c r="AB82" i="1"/>
  <c r="AC82" i="1"/>
  <c r="X83" i="1"/>
  <c r="Y83" i="1"/>
  <c r="Z83" i="1"/>
  <c r="AA83" i="1"/>
  <c r="AB83" i="1"/>
  <c r="AC83" i="1"/>
  <c r="X84" i="1"/>
  <c r="Y84" i="1"/>
  <c r="Z84" i="1"/>
  <c r="AA84" i="1"/>
  <c r="AB84" i="1"/>
  <c r="AC84" i="1"/>
  <c r="X85" i="1"/>
  <c r="Y85" i="1"/>
  <c r="Z85" i="1"/>
  <c r="AA85" i="1"/>
  <c r="AB85" i="1"/>
  <c r="AC85" i="1"/>
  <c r="X86" i="1"/>
  <c r="Y86" i="1"/>
  <c r="Z86" i="1"/>
  <c r="AA86" i="1"/>
  <c r="AB86" i="1"/>
  <c r="AC86" i="1"/>
  <c r="X87" i="1"/>
  <c r="Y87" i="1"/>
  <c r="Z87" i="1"/>
  <c r="AD87" i="1" s="1"/>
  <c r="AA87" i="1"/>
  <c r="AB87" i="1"/>
  <c r="AC87" i="1"/>
  <c r="X88" i="1"/>
  <c r="Y88" i="1"/>
  <c r="Z88" i="1"/>
  <c r="AD88" i="1" s="1"/>
  <c r="AA88" i="1"/>
  <c r="AB88" i="1"/>
  <c r="AC88" i="1"/>
  <c r="X89" i="1"/>
  <c r="Y89" i="1"/>
  <c r="Z89" i="1"/>
  <c r="AA89" i="1"/>
  <c r="AB89" i="1"/>
  <c r="AC89" i="1"/>
  <c r="X90" i="1"/>
  <c r="Y90" i="1"/>
  <c r="Z90" i="1"/>
  <c r="AA90" i="1"/>
  <c r="AB90" i="1"/>
  <c r="AC90" i="1"/>
  <c r="X91" i="1"/>
  <c r="Y91" i="1"/>
  <c r="Z91" i="1"/>
  <c r="AA91" i="1"/>
  <c r="AD91" i="1" s="1"/>
  <c r="AB91" i="1"/>
  <c r="AC91" i="1"/>
  <c r="X92" i="1"/>
  <c r="Y92" i="1"/>
  <c r="Z92" i="1"/>
  <c r="AA92" i="1"/>
  <c r="AB92" i="1"/>
  <c r="AC92" i="1"/>
  <c r="AD58" i="1"/>
  <c r="AD18" i="1"/>
  <c r="AD14" i="1"/>
  <c r="AD54" i="1"/>
  <c r="AD32" i="1"/>
  <c r="AD20" i="1"/>
  <c r="AD90" i="1"/>
  <c r="AD43" i="1"/>
  <c r="AD92" i="1"/>
  <c r="AD39" i="1"/>
  <c r="AD35" i="1"/>
  <c r="AD31" i="1"/>
  <c r="AD22" i="1"/>
  <c r="AD6" i="1"/>
  <c r="AD51" i="1"/>
  <c r="AD40" i="1"/>
  <c r="AD10" i="1"/>
  <c r="AD68" i="1"/>
  <c r="AD25" i="1"/>
  <c r="AD36" i="1"/>
  <c r="AD62" i="1"/>
  <c r="AD57" i="1"/>
  <c r="AD53" i="1"/>
  <c r="AD41" i="1"/>
  <c r="AD73" i="1"/>
  <c r="AD46" i="1"/>
  <c r="AD30" i="1"/>
  <c r="C59" i="13"/>
  <c r="C69" i="5"/>
  <c r="B4" i="10"/>
  <c r="AD103" i="1" l="1"/>
  <c r="AD106" i="1"/>
  <c r="AD105" i="1"/>
  <c r="AD104" i="1"/>
  <c r="AD81" i="1"/>
  <c r="AD85" i="1"/>
  <c r="AD83" i="1"/>
  <c r="AD78" i="1"/>
  <c r="AD82" i="1"/>
  <c r="AD84" i="1"/>
  <c r="AD80" i="1"/>
  <c r="AD75" i="1"/>
  <c r="AD108" i="1"/>
  <c r="AD101" i="1"/>
  <c r="AD100" i="1"/>
  <c r="AD99" i="1"/>
  <c r="AD98" i="1"/>
  <c r="AD97" i="1"/>
  <c r="AA96" i="1"/>
  <c r="AA95" i="1"/>
  <c r="AA94" i="1"/>
  <c r="AB94" i="1"/>
  <c r="Z93" i="1"/>
  <c r="Y93" i="1"/>
  <c r="AD89" i="1"/>
  <c r="AE89" i="1" s="1"/>
  <c r="D16" i="15" s="1"/>
  <c r="E16" i="15" s="1"/>
  <c r="AD86" i="1"/>
  <c r="AE86" i="1" s="1"/>
  <c r="D15" i="15" s="1"/>
  <c r="E15" i="15" s="1"/>
  <c r="AD71" i="1"/>
  <c r="AE71" i="1" s="1"/>
  <c r="D13" i="14" s="1"/>
  <c r="E13" i="14" s="1"/>
  <c r="AD70" i="1"/>
  <c r="AD69" i="1"/>
  <c r="AD64" i="1"/>
  <c r="AE53" i="1"/>
  <c r="D11" i="14" s="1"/>
  <c r="E11" i="14" s="1"/>
  <c r="AD52" i="1"/>
  <c r="AE45" i="1" s="1"/>
  <c r="D10" i="15" s="1"/>
  <c r="E10" i="15" s="1"/>
  <c r="D9" i="15"/>
  <c r="E9" i="15" s="1"/>
  <c r="D9" i="14"/>
  <c r="E9" i="14" s="1"/>
  <c r="AD29" i="1"/>
  <c r="AE29" i="1" s="1"/>
  <c r="D8" i="15" s="1"/>
  <c r="E8" i="15" s="1"/>
  <c r="AD23" i="1"/>
  <c r="AE23" i="1" s="1"/>
  <c r="D7" i="15" s="1"/>
  <c r="E7" i="15" s="1"/>
  <c r="AE5" i="1"/>
  <c r="D6" i="14" s="1"/>
  <c r="E6" i="14" s="1"/>
  <c r="AE75" i="1" l="1"/>
  <c r="D14" i="14" s="1"/>
  <c r="E14" i="14" s="1"/>
  <c r="Y96" i="1"/>
  <c r="Z96" i="1"/>
  <c r="Z95" i="1"/>
  <c r="Y95" i="1"/>
  <c r="Y94" i="1"/>
  <c r="Z94" i="1"/>
  <c r="AD93" i="1"/>
  <c r="D16" i="14"/>
  <c r="E16" i="14" s="1"/>
  <c r="D15" i="14"/>
  <c r="E15" i="14" s="1"/>
  <c r="D13" i="15"/>
  <c r="E13" i="15" s="1"/>
  <c r="AE65" i="1"/>
  <c r="D12" i="14" s="1"/>
  <c r="E12" i="14" s="1"/>
  <c r="D12" i="15"/>
  <c r="E12" i="15" s="1"/>
  <c r="D11" i="15"/>
  <c r="E11" i="15" s="1"/>
  <c r="D10" i="14"/>
  <c r="E10" i="14" s="1"/>
  <c r="D8" i="14"/>
  <c r="E8" i="14" s="1"/>
  <c r="D7" i="14"/>
  <c r="E7" i="14" s="1"/>
  <c r="D6" i="15"/>
  <c r="E6" i="15" s="1"/>
  <c r="D14" i="15" l="1"/>
  <c r="E14" i="15" s="1"/>
  <c r="AD96" i="1"/>
  <c r="AD95" i="1"/>
  <c r="AD94" i="1"/>
  <c r="A4" i="10"/>
  <c r="AE93" i="1" l="1"/>
  <c r="D17" i="14" s="1"/>
  <c r="E17" i="14" s="1"/>
  <c r="AE109" i="1" l="1"/>
  <c r="D17" i="15"/>
  <c r="E17" i="15" s="1"/>
</calcChain>
</file>

<file path=xl/sharedStrings.xml><?xml version="1.0" encoding="utf-8"?>
<sst xmlns="http://schemas.openxmlformats.org/spreadsheetml/2006/main" count="617" uniqueCount="559">
  <si>
    <t>F</t>
  </si>
  <si>
    <t>NO.</t>
  </si>
  <si>
    <t>Misión, visión y valores</t>
  </si>
  <si>
    <t>Gestión empresarial</t>
  </si>
  <si>
    <t>Manuales de organización, políticas y procedimientos</t>
  </si>
  <si>
    <t>Comunicación, transparencia y rendición de cuentas</t>
  </si>
  <si>
    <t>Medidas anticorrupción</t>
  </si>
  <si>
    <t>EVIDENCIAS</t>
  </si>
  <si>
    <t>NE</t>
  </si>
  <si>
    <t>DO</t>
  </si>
  <si>
    <t>DP</t>
  </si>
  <si>
    <t>DI</t>
  </si>
  <si>
    <t>MR</t>
  </si>
  <si>
    <t>Observaciones</t>
  </si>
  <si>
    <t>Sistema Nacional de Certificación Turística</t>
  </si>
  <si>
    <t>GOBERNANZA DE LA ORGANIZACIÓN</t>
  </si>
  <si>
    <t>VALOR EVIDENCIAS</t>
  </si>
  <si>
    <t>PUNTOS OBTENIDOS</t>
  </si>
  <si>
    <t>TOTAL</t>
  </si>
  <si>
    <t>SUMATORIA</t>
  </si>
  <si>
    <t>DERECHOS HUMANOS DE LOS TRABAJADORES</t>
  </si>
  <si>
    <t>NIVEL DE MADUREZ</t>
  </si>
  <si>
    <t>REQUISITOS</t>
  </si>
  <si>
    <t>CRITERIOS DE EVALUACIÓN</t>
  </si>
  <si>
    <t>SUBFACTORES</t>
  </si>
  <si>
    <t>Respeto a los derechos humanos</t>
  </si>
  <si>
    <t>No discriminación y atención a grupos vulnerables</t>
  </si>
  <si>
    <t>Equidad de género</t>
  </si>
  <si>
    <t>Inclusión y accesibilidad de personas con discapacidad</t>
  </si>
  <si>
    <t>Aplica acciones de inclusión y accesibilidad de personas con alguna discapacidad.</t>
  </si>
  <si>
    <t>Prácticas laborales</t>
  </si>
  <si>
    <t>Derecho de asociación</t>
  </si>
  <si>
    <t>Permite la realización de reuniones de los trabajadores para atender asuntos propios del establecimiento</t>
  </si>
  <si>
    <t>Respeto al derecho laboral de los trabajadores</t>
  </si>
  <si>
    <t>Salud, seguridad e higiene en el trabajo</t>
  </si>
  <si>
    <t>Cuenta con instalaciones higiénicas y salubres para los trabajadores.</t>
  </si>
  <si>
    <t>Cuenta con instalaciones seguras para los trabajadores</t>
  </si>
  <si>
    <t>Establece medidas preventivas de seguridad para evitar que el trabajador sufra accidentes laborales.</t>
  </si>
  <si>
    <t>Protección civil</t>
  </si>
  <si>
    <t>Realiza simulacros de evacuación por sismo, incendio o situación similar, periódicamente.</t>
  </si>
  <si>
    <t>Desarrollo humano y formación del personal</t>
  </si>
  <si>
    <t>Inversionistas</t>
  </si>
  <si>
    <t>Inversión y rendimientos justos</t>
  </si>
  <si>
    <t>Proveedores</t>
  </si>
  <si>
    <t>Selección, contratación y pago a proveedores</t>
  </si>
  <si>
    <t>Cuenta con una política de pago a proveedores y la da a conocer a las partes interesadas.</t>
  </si>
  <si>
    <t>Calidad de la proveeduría y alineamiento a la Responsabilidad Social</t>
  </si>
  <si>
    <t>Desarrollo de proveedores</t>
  </si>
  <si>
    <t>Clientes</t>
  </si>
  <si>
    <t>Protección de la salud y la seguridad de los consumidores</t>
  </si>
  <si>
    <t>Atención y satisfacción del cliente</t>
  </si>
  <si>
    <t>Cuenta con procedimientos documentados en Manual de Operaciones.</t>
  </si>
  <si>
    <t>Resolución de quejas y controversias</t>
  </si>
  <si>
    <t>Prácticas comerciales</t>
  </si>
  <si>
    <t>Mercadotecnia y publicidad responsable y transparente</t>
  </si>
  <si>
    <t>Protección y privacidad de los datos de los consumidores</t>
  </si>
  <si>
    <t>No revela, ni pone a disposición, ni usa los datos de carácter personal, para propósitos distintos de aquellos especificados, incluido el marketing, excepto cuando exista consentimiento informado y voluntario del consumidor</t>
  </si>
  <si>
    <t>Competencia</t>
  </si>
  <si>
    <t>Respeto a los derechos de propiedad industrial</t>
  </si>
  <si>
    <t>Tiene establecida política que promueve el respeto a los derechos de propiedad, marcas y patentes.</t>
  </si>
  <si>
    <t>Competencia justa y honesta</t>
  </si>
  <si>
    <t>Tiene establecida política que prohíbe involucrarse en actividades de falsificación y piratería en los productos y servicios que ofrece.</t>
  </si>
  <si>
    <t>Medio ambiente</t>
  </si>
  <si>
    <t>Uso sustentable de recursos naturales</t>
  </si>
  <si>
    <t>Implementa acciones para  utilizar combustibles y energías menos contaminantes.</t>
  </si>
  <si>
    <t>Desarrollo social y comunitario</t>
  </si>
  <si>
    <t>Impulso al desarrollo social</t>
  </si>
  <si>
    <t>Apoya la formación de estudiantes de la localidad, para que realicen en el establecimiento pasantías o prácticas de acuerdo con su perfil académico.</t>
  </si>
  <si>
    <t>Acciones para el desarrollo comunitario</t>
  </si>
  <si>
    <t>Procesos y mejora continua</t>
  </si>
  <si>
    <t>Tiene implementado un sistema de gestión de calidad que establece un programa de calidad en las áreas funcionales del establecimiento.</t>
  </si>
  <si>
    <t>Trabaja en conjunto con la Cámara o Asociación a la que pertenece, con el objeto de mantenerse actualizado e intercambiar experiencias de mejores prácticas para una mejora continua en la calidad del servicio que se presta.</t>
  </si>
  <si>
    <t>Cuenta con estrategias de trabajo conjunto con alguna Cámara, Asociación, Cadena de Valor o Clusters.</t>
  </si>
  <si>
    <t>Cuenta con Misión, Visión y declaración de Valores; y promueve su aplicación.</t>
  </si>
  <si>
    <t>Código de ética para el establecimiento y de conducta para los trabajadores</t>
  </si>
  <si>
    <t>Cuenta con un Plan de negocio o Plan estratégico para el establecimiento; utiliza indicadores para evaluar y un enfoque de sustentabilidad y de éxito sostenido (a mediano o largo plazo).</t>
  </si>
  <si>
    <t>Cuenta con un Plan de negocio que establece objetivos estratégicos para el logro de las metas del negocio y de las diferentes unidades que lo integran.</t>
  </si>
  <si>
    <t>Aplica mecanismos (registro, controles, herramientas) para la medición de avances y resultados del negocio y de las unidades que lo integran; que le permitan retroalimentar y prever para asegurar el logro de las metas, así como tomar decisiones informadas.</t>
  </si>
  <si>
    <t>Aplica mecanismos o herramientas de diagnóstico organizacional (interno y externo), que le proporcione información (fortalezas, áreas de mejora, clima organizacional, etc.) y que le lleve a aplicar acciones de mejora</t>
  </si>
  <si>
    <t>Tiene establecida una estructura orgánica de dirección y operación documentada que incluye organigrama, objetivos, funciones y responsabilidades, así como procedimientos vigentes de las principales áreas funcionales que integran el negocio.</t>
  </si>
  <si>
    <t>Cuenta con Manual de políticas, de Organización/Operación vigentes de las principales áreas funcionales.</t>
  </si>
  <si>
    <t>Cuenta con un organigrama general del negocio y específico por área funcional (Dirección y operación) vigente.</t>
  </si>
  <si>
    <t>Cuenta con Manual de procedimientos vigente para los principales puestos operativos de las áreas funcionales, con el fin de  estandarizar los resultados (productos o servicios).</t>
  </si>
  <si>
    <t>Establece comunicación con los diversos grupos de interés sobre el logro de resultados, objetivos, metas, cumplimiento de políticas del negocio, lineamientos y decisiones de la Dirección, etc. a través de diversos medios impresos o electrónicos.</t>
  </si>
  <si>
    <t>Cuenta con diferentes mecanismos de comunicación y los aplica según corresponda a las partes interesadas.</t>
  </si>
  <si>
    <t>Tiene establecida y aplica política de transparencia a través de auditorías  administrativas, financieras/contables internas y/o externas periódicas</t>
  </si>
  <si>
    <t>Lleva a cabo auditorias administrativas internas con periodicidad, las documenta, registra y comunica resultados</t>
  </si>
  <si>
    <t>Lleva a cabo auditorias financieras/contables con periodicidad, las documenta, registra y comunica resultados</t>
  </si>
  <si>
    <t>Cuenta con políticas y prácticas que promuevan la adopción de medidas anticorrupción y que prohíban prácticas ilegales.</t>
  </si>
  <si>
    <t>Establece y aplica políticas y prácticas que prohíban y combatan la corrupción, extorsión, soborno, robo hormiga y conductas similares en el establecimiento.</t>
  </si>
  <si>
    <t>Cuenta con algún mecanismo de retroalimentación de los clientes, proveedores, empleados, socios o accionistas cuando observen alguna violación a la política anticorrupción.</t>
  </si>
  <si>
    <t>Cuenta con algún mecanismo para promover el Código de Conducta Nacional para la Protección de Niñas, Niños y Adolescentes en el Sector de Viajes y Turismo.</t>
  </si>
  <si>
    <t>Evita prácticas discriminatorias hacia y entre el personal de la organización, así como en la contratación de personal (jóvenes, adultos mayores o con discapacidad).</t>
  </si>
  <si>
    <t>Establece y aplica política de no discriminación y atención a grupos vulnerables.</t>
  </si>
  <si>
    <t>Establece política sobre  igualdad de oportunidades laborales entre hombres y mujeres.</t>
  </si>
  <si>
    <t>Promueve oportunidades de empleo para personas con discapacidad.</t>
  </si>
  <si>
    <t>Lleva a cabo proceso de integración de personal a la organización (reclutamiento, selección, contratación e inducción).</t>
  </si>
  <si>
    <t>Lleva a cabo proceso de evaluación periódica de personal con fines de promoción, capacitación, rotación o administración de incentivos.</t>
  </si>
  <si>
    <t>Establece una relación formal laboral con los trabajadores/ prestadores de servicios del establecimiento (out sourcing/ subcontratación).</t>
  </si>
  <si>
    <t>Mantiene condiciones laborales de higiene y salud para los trabajadores.</t>
  </si>
  <si>
    <t>Mantiene condiciones de seguridad en los edificios, locales, instalaciones, áreas de trabajo y áreas comunes.</t>
  </si>
  <si>
    <t>Establece un programa interno de protección civil  para los fines y en los términos que señala en la Ley General de protección Civil, su Reglamento y  normatividad aplicable de la entidad federativa, municipio o delegación de que se trate.</t>
  </si>
  <si>
    <t xml:space="preserve">Cuenta con un programa interno de protección civil </t>
  </si>
  <si>
    <t>Establece políticas y promueve la capacitación y desarrollo del personal como actividad permanente y con enfoque de mejora continua.</t>
  </si>
  <si>
    <t>Promueve la capacitación en temas prioritarios para el sector turístico como: protección civil, sustentabilidad ambiental, servicio y atención al turista, conocimiento del servicio o producto, ventas, calidad en el servicio, código de valores,  etc.</t>
  </si>
  <si>
    <t>Define y aplica política con respecto al informe de resultados económicos/financieros para las partes interesadas, conforme a la legalidad vigente.</t>
  </si>
  <si>
    <t>Los resultados económico/financieros están a disposición de los inversionistas.</t>
  </si>
  <si>
    <t>Aplica política y procedimiento de selección de proveedores.</t>
  </si>
  <si>
    <t>Establece procedimiento para gestionar la compra de bienes y servicios, según el tipo de compra.</t>
  </si>
  <si>
    <t>Aplica procedimiento para gestionar compras de bienes y servicios, según el tipo de compra.</t>
  </si>
  <si>
    <t>Integra y mantiene actualizado un Catálogo o lista de proveedores que cumplan con criterios de calidad (ficha técnica) establecidos para la proveeduría</t>
  </si>
  <si>
    <t>Cuenta con un Catálogo o lista de proveedores y lo mantiene actualizado.</t>
  </si>
  <si>
    <t>Aplica política de pago a proveedores.</t>
  </si>
  <si>
    <t>Establece y comunica a sus proveedores y partes interesadas su política de calidad (ficha técnica) en la proveeduría y alineamiento a la responsabilidad social (proveedores con prácticas Sustentables).</t>
  </si>
  <si>
    <t>Aplica la política de calidad (ficha técnica) y preferencia de proveedores comprometidos con la responsabilidad social y sustentabilidad ambiental</t>
  </si>
  <si>
    <t>Promueve la política de contratación de proveedores locales.</t>
  </si>
  <si>
    <t>Aplica la política de preferencia de proveedores locales.</t>
  </si>
  <si>
    <t>Cuenta con un Programa de mantenimiento preventivo de equipos e instalaciones para asegurar la higiene en equipos e instalaciones.</t>
  </si>
  <si>
    <t>Coordina con autoridades  municipales de protección civil, de sanidad y de emergencia, un Programa comunitario de emergencias.</t>
  </si>
  <si>
    <t>Cuenta con un Programa comunitario de emergencia.</t>
  </si>
  <si>
    <t>Cuenta con un Programa continuo de capacitación de simulacros.</t>
  </si>
  <si>
    <t>Gestiona la evaluación de la satisfacción del cliente (encuesta de salida u otro mecanismo).</t>
  </si>
  <si>
    <t>Establece y aplica un sistema de seguimiento y resolución de quejas o reclamos.</t>
  </si>
  <si>
    <t>Comportamiento comercial justo y responsable</t>
  </si>
  <si>
    <t>Establece y aplica política de  prácticas comerciales justas y responsables, considerando los derechos de los consumidores.</t>
  </si>
  <si>
    <t>Establece Plan de mercadotecnia y la publicidad que realiza por diversos medios es veraz, comprobable y evita generar falsas expectativas en los posibles consumidores.</t>
  </si>
  <si>
    <t>Cuenta con promociones y publicidad clara, ética y responsable (evita publicidad engañosa o abusiva), de acuerdo con la normatividad aplicable.</t>
  </si>
  <si>
    <t>Cuenta con política de privacidad de datos personales (Base de datos de los clientes), documentada en Manual de Políticas/Operaciones.</t>
  </si>
  <si>
    <t>Respeta los derechos de propiedad, marcas y patentes.</t>
  </si>
  <si>
    <t>Cuenta con política documentada en Manual de Operaciones / Código de ética.</t>
  </si>
  <si>
    <t>Cuenta con Programa de promociones, precios y condiciones.</t>
  </si>
  <si>
    <t>Establece políticas y acciones que promueven el desarrollo social de la comunidad, en el último año.</t>
  </si>
  <si>
    <t>1.1.1</t>
  </si>
  <si>
    <t>1.2.1</t>
  </si>
  <si>
    <t>1.3.1</t>
  </si>
  <si>
    <t>1.3.2</t>
  </si>
  <si>
    <t>1.4.1</t>
  </si>
  <si>
    <t>1.5.1</t>
  </si>
  <si>
    <t>1.5.2</t>
  </si>
  <si>
    <t>1.5.3</t>
  </si>
  <si>
    <t>1.6.1</t>
  </si>
  <si>
    <t>2.1.1</t>
  </si>
  <si>
    <t>2.2.1</t>
  </si>
  <si>
    <t>2.3.1</t>
  </si>
  <si>
    <t>2.4.1</t>
  </si>
  <si>
    <t>3.1.1</t>
  </si>
  <si>
    <t>3.2.1</t>
  </si>
  <si>
    <t>3.3.1</t>
  </si>
  <si>
    <t>3.3.2</t>
  </si>
  <si>
    <t>3.4.1</t>
  </si>
  <si>
    <t>3.5.1</t>
  </si>
  <si>
    <t>4.1.1</t>
  </si>
  <si>
    <t>5.1.1</t>
  </si>
  <si>
    <t>5.1.2</t>
  </si>
  <si>
    <t>5.1.3</t>
  </si>
  <si>
    <t>5.1.4</t>
  </si>
  <si>
    <t>5.2.1</t>
  </si>
  <si>
    <t>5.2.2</t>
  </si>
  <si>
    <t>5.2.3</t>
  </si>
  <si>
    <t>5.3.1</t>
  </si>
  <si>
    <t>6.1.1</t>
  </si>
  <si>
    <t>6.1.2</t>
  </si>
  <si>
    <t>6.1.3</t>
  </si>
  <si>
    <t>6.1.4</t>
  </si>
  <si>
    <t>6.2.1</t>
  </si>
  <si>
    <t>6.2.2</t>
  </si>
  <si>
    <t>6.2.3</t>
  </si>
  <si>
    <t>6.3.1</t>
  </si>
  <si>
    <t>7.1.1</t>
  </si>
  <si>
    <t>7.1.2</t>
  </si>
  <si>
    <t>7.2.1</t>
  </si>
  <si>
    <t>7.3.1</t>
  </si>
  <si>
    <t>7.3.2</t>
  </si>
  <si>
    <t>8.1.1</t>
  </si>
  <si>
    <t>8.2.1</t>
  </si>
  <si>
    <t>8.2.2</t>
  </si>
  <si>
    <t>10.1.1</t>
  </si>
  <si>
    <t>10.2.1</t>
  </si>
  <si>
    <t>11.1.1</t>
  </si>
  <si>
    <t>11.2.1</t>
  </si>
  <si>
    <t>12.1.1</t>
  </si>
  <si>
    <t>12.2.1</t>
  </si>
  <si>
    <t>SI</t>
  </si>
  <si>
    <t>NO</t>
  </si>
  <si>
    <t>CUMPLIMIENTO DEL MARCO LEGAL Y NORMATIVO</t>
  </si>
  <si>
    <t>Cumplimiento</t>
  </si>
  <si>
    <t>REFERENTES / EQUIVALENCIAS</t>
  </si>
  <si>
    <t>REFERENTE / EQUIVALENCIA</t>
  </si>
  <si>
    <r>
      <rPr>
        <b/>
        <sz val="11"/>
        <color theme="1"/>
        <rFont val="Soberana Sans Light"/>
        <family val="3"/>
      </rPr>
      <t>NMX-R-050-SCFI-2006</t>
    </r>
    <r>
      <rPr>
        <sz val="11"/>
        <color theme="1"/>
        <rFont val="Soberana Sans Light"/>
        <family val="3"/>
      </rPr>
      <t xml:space="preserve">
Accesibilidad de las personas con discapacidad a espacios  construidos de servicio al público -especificaciones de seguridad.</t>
    </r>
  </si>
  <si>
    <r>
      <rPr>
        <b/>
        <sz val="11"/>
        <color theme="1"/>
        <rFont val="Soberana Sans Light"/>
        <family val="3"/>
      </rPr>
      <t>Distintivo M I</t>
    </r>
    <r>
      <rPr>
        <sz val="11"/>
        <color theme="1"/>
        <rFont val="Soberana Sans Light"/>
        <family val="3"/>
      </rPr>
      <t>. Programa de Calidad Moderniza. Sistema de gestión M. SECTUR</t>
    </r>
  </si>
  <si>
    <r>
      <rPr>
        <b/>
        <sz val="11"/>
        <color theme="1"/>
        <rFont val="Soberana Sans Light"/>
        <family val="3"/>
      </rPr>
      <t>Distintivo MII.</t>
    </r>
    <r>
      <rPr>
        <sz val="11"/>
        <color theme="1"/>
        <rFont val="Soberana Sans Light"/>
        <family val="3"/>
      </rPr>
      <t xml:space="preserve"> Programa Moderniza Especializada (M II) SECTUR</t>
    </r>
  </si>
  <si>
    <r>
      <rPr>
        <b/>
        <sz val="11"/>
        <color theme="1"/>
        <rFont val="Soberana Sans Light"/>
        <family val="3"/>
      </rPr>
      <t>Sello de Calidad “Punto Limpio”.</t>
    </r>
    <r>
      <rPr>
        <sz val="11"/>
        <color theme="1"/>
        <rFont val="Soberana Sans Light"/>
        <family val="3"/>
      </rPr>
      <t xml:space="preserve"> SECTUR, Programa Nacional para las Buenas Prácticas para la Calidad Higiénica de las MIPYMES Turísticas Punto Limpio. SECTUR</t>
    </r>
  </si>
  <si>
    <r>
      <rPr>
        <b/>
        <sz val="11"/>
        <color theme="1"/>
        <rFont val="Soberana Sans Light"/>
        <family val="3"/>
      </rPr>
      <t>Distintivo S.</t>
    </r>
    <r>
      <rPr>
        <sz val="11"/>
        <color theme="1"/>
        <rFont val="Soberana Sans Light"/>
        <family val="3"/>
      </rPr>
      <t xml:space="preserve"> Programa de Buenas Prácticas de Sustentabilidad. SECTUR</t>
    </r>
  </si>
  <si>
    <r>
      <rPr>
        <b/>
        <sz val="11"/>
        <color theme="1"/>
        <rFont val="Soberana Sans Light"/>
        <family val="3"/>
      </rPr>
      <t xml:space="preserve">Distintivo G. </t>
    </r>
    <r>
      <rPr>
        <sz val="11"/>
        <color theme="1"/>
        <rFont val="Soberana Sans Light"/>
        <family val="3"/>
      </rPr>
      <t>Gerontológico. INAPAM SECTUR</t>
    </r>
  </si>
  <si>
    <r>
      <rPr>
        <b/>
        <sz val="11"/>
        <color theme="1"/>
        <rFont val="Soberana Sans Light"/>
        <family val="3"/>
      </rPr>
      <t>Distintivo Empresa Incluyente “Gilberto Rincón Gallardo”.</t>
    </r>
    <r>
      <rPr>
        <sz val="11"/>
        <color theme="1"/>
        <rFont val="Soberana Sans Light"/>
        <family val="3"/>
      </rPr>
      <t xml:space="preserve"> STPS</t>
    </r>
  </si>
  <si>
    <r>
      <rPr>
        <b/>
        <sz val="11"/>
        <color theme="1"/>
        <rFont val="Soberana Sans Light"/>
        <family val="3"/>
      </rPr>
      <t>Certificado de Calidad Ambiental Turística.</t>
    </r>
    <r>
      <rPr>
        <sz val="11"/>
        <color theme="1"/>
        <rFont val="Soberana Sans Light"/>
        <family val="3"/>
      </rPr>
      <t xml:space="preserve"> SEMARNAT PROFEPA</t>
    </r>
  </si>
  <si>
    <r>
      <rPr>
        <b/>
        <sz val="11"/>
        <color theme="1"/>
        <rFont val="Soberana Sans Light"/>
        <family val="3"/>
      </rPr>
      <t xml:space="preserve">Certificado Calidad Ambiental. </t>
    </r>
    <r>
      <rPr>
        <sz val="11"/>
        <color theme="1"/>
        <rFont val="Soberana Sans Light"/>
        <family val="3"/>
      </rPr>
      <t>SEMARNAT PROFEPA</t>
    </r>
  </si>
  <si>
    <r>
      <rPr>
        <b/>
        <sz val="11"/>
        <color theme="1"/>
        <rFont val="Soberana Sans Light"/>
        <family val="3"/>
      </rPr>
      <t xml:space="preserve">Distintivo Empresa Segura. </t>
    </r>
    <r>
      <rPr>
        <sz val="11"/>
        <color theme="1"/>
        <rFont val="Soberana Sans Light"/>
        <family val="3"/>
      </rPr>
      <t>STPS</t>
    </r>
  </si>
  <si>
    <r>
      <rPr>
        <b/>
        <sz val="11"/>
        <color theme="1"/>
        <rFont val="Soberana Sans Light"/>
        <family val="3"/>
      </rPr>
      <t xml:space="preserve">Distintivo HT. </t>
    </r>
    <r>
      <rPr>
        <sz val="11"/>
        <color theme="1"/>
        <rFont val="Soberana Sans Light"/>
        <family val="3"/>
      </rPr>
      <t>Alta Tecnología en la hospitalidad. TELMEX</t>
    </r>
  </si>
  <si>
    <r>
      <rPr>
        <b/>
        <sz val="11"/>
        <color theme="1"/>
        <rFont val="Soberana Sans Light"/>
        <family val="3"/>
      </rPr>
      <t xml:space="preserve">Certificado Green Key. </t>
    </r>
    <r>
      <rPr>
        <sz val="11"/>
        <color theme="1"/>
        <rFont val="Soberana Sans Light"/>
        <family val="3"/>
      </rPr>
      <t>PRONATURA</t>
    </r>
  </si>
  <si>
    <r>
      <rPr>
        <b/>
        <sz val="11"/>
        <color theme="1"/>
        <rFont val="Soberana Sans Light"/>
        <family val="3"/>
      </rPr>
      <t>Distintivo Bandera azúl</t>
    </r>
    <r>
      <rPr>
        <sz val="11"/>
        <color theme="1"/>
        <rFont val="Soberana Sans Light"/>
        <family val="3"/>
      </rPr>
      <t xml:space="preserve"> (Blue flag). PRONATURA</t>
    </r>
  </si>
  <si>
    <r>
      <rPr>
        <b/>
        <sz val="11"/>
        <color theme="1"/>
        <rFont val="Soberana Sans Light"/>
        <family val="3"/>
      </rPr>
      <t>Certificado EarthCheck: Sostenibilidad.</t>
    </r>
    <r>
      <rPr>
        <sz val="11"/>
        <color theme="1"/>
        <rFont val="Soberana Sans Light"/>
        <family val="3"/>
      </rPr>
      <t xml:space="preserve"> EarthCheck</t>
    </r>
  </si>
  <si>
    <r>
      <rPr>
        <b/>
        <sz val="11"/>
        <color theme="1"/>
        <rFont val="Soberana Sans Light"/>
        <family val="3"/>
      </rPr>
      <t>Certificado de ecoturismo</t>
    </r>
    <r>
      <rPr>
        <sz val="11"/>
        <color theme="1"/>
        <rFont val="Soberana Sans Light"/>
        <family val="3"/>
      </rPr>
      <t>-SEMARNAT</t>
    </r>
  </si>
  <si>
    <t>Referentes</t>
  </si>
  <si>
    <t>Instrucciones de Llenado</t>
  </si>
  <si>
    <t>Abreviaturas</t>
  </si>
  <si>
    <t xml:space="preserve">Sistema Nacional de Certificación Turística </t>
  </si>
  <si>
    <t>Factor</t>
  </si>
  <si>
    <t>F:</t>
  </si>
  <si>
    <t>SNCT:</t>
  </si>
  <si>
    <t>Grado de Cumplimiento / Evidencias</t>
  </si>
  <si>
    <t>TOTAL DE REFERENTES / EQUIVALENCIAS</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</si>
  <si>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</si>
  <si>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</si>
  <si>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</si>
  <si>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Diagnostico</t>
  </si>
  <si>
    <t>Su diagnostico inicial indica que su establecimiento obtuvo</t>
  </si>
  <si>
    <t>PUNTOS</t>
  </si>
  <si>
    <t xml:space="preserve"> ALCANZO EL NIVEL DE MADUREZ</t>
  </si>
  <si>
    <t>Cuenta con un Consejo Directivo o de Administración, Consejo Familiar, Apoderado o Representante Legal, Propietario (Persona Física con Actividad Empresarial) o similar en operación durante el  último año.</t>
  </si>
  <si>
    <t>Cuenta con Programa de trabajo anual alineado al Plan de negocio establecido.</t>
  </si>
  <si>
    <t xml:space="preserve">Establece mecanismos de control interno  como apoyo a la gestión operativa y administrativa. </t>
  </si>
  <si>
    <t>Aplica mecanismo de control interno para salvaguardar activos, verificar información financiera administrativa operacional y salvaguardar contra desperdicios o fraudes.</t>
  </si>
  <si>
    <t>Promueve políticas y prácticas sobre el respeto de los derechos humanos de los trabajadores.</t>
  </si>
  <si>
    <t>Tiene establecido y en operación un procedimiento de selección, inducción, contratación, promoción y evaluación de personal.</t>
  </si>
  <si>
    <t>Cuenta con un proceso de terminación de la relación laboral.</t>
  </si>
  <si>
    <t xml:space="preserve">Establece políticas  y aplica acciones en materia de sustentabilidad ambiental en el establecimiento, de acuerdo con el Programa de desempeño ambiental. </t>
  </si>
  <si>
    <t>Elabora Programa de acciones de desempeño ambiental.</t>
  </si>
  <si>
    <t>Establece acciones para no utilizar ni consumir productos que tengan contraindicaciones ambientales.</t>
  </si>
  <si>
    <t>Aplica procedimiento  ecológico para el manejo de los desechos orgánicos e inorgánicos o de riesgo que surgen como resultado del proceso de trabajo del establecimiento.</t>
  </si>
  <si>
    <t>Aplica acciones para reducir o reutilizar papel, como producir los materiales promocionales e informativos con material reciclado.</t>
  </si>
  <si>
    <t>Establece política y aplica prácticas de sustentabilidad en la gestión de los recursos.</t>
  </si>
  <si>
    <t>Cuenta con un programa de uso y ahorro de agua a través de diversos dispositivos o mecanismos.</t>
  </si>
  <si>
    <t>Cuenta el establecimiento con luminarias de bajo consumo de energía eléctrica o utiliza nuevas tecnologías para el ahorro de energía.</t>
  </si>
  <si>
    <t>Participa en acciones de promoción del desarrollo social  de la comunidad donde se asienta el establecimiento.</t>
  </si>
  <si>
    <t>Cuenta con un sistema de gestión de la calidad documentado que establece controles y registros de acciones preventivas, correctivas y de mejora continua.</t>
  </si>
  <si>
    <t>Aplica auditorías periódicas, internas o externas, del sistema de gestión de la calidad.</t>
  </si>
  <si>
    <t>Realiza revisión periódica sobre sus prácticas de responsabilidad social y comparte en el subsector por algún medio.</t>
  </si>
  <si>
    <t>Cuenta con registro de acciones de mejora continua, acciones con enfoque al cliente, desarrollo sustentable y calidad con enfoque de RSE; y comunica en el subsector.</t>
  </si>
  <si>
    <t xml:space="preserve">NMX-SAST-26000-IMNC-2011
Certificado RSE
Distintivo 
Moderniza I 
Distintivo
Moderniza II
NMX-CC-9001-IMNC-2008  
NMX-CC-9004-IMNC-2009
NMX-CC-10014-IMNC-2008
</t>
  </si>
  <si>
    <t xml:space="preserve">Constitución Política de los Estados Unidos Mexicanos
Ley Federal del Trabajo (LFT)
LFT art. 2
(Definición de trabajo digno y decente)
Distintivo
Moderniza II
NMX-SAST-26000-IMNC-2011
Certificado RSE
NMX-CC-9001-IMNC-2008 
NMX-R-050-SCFI-2006.
NMX-R-025-SCFI-2012
NMX-SAST-26000-IMNC-2011
NOM-015-SSA3-2012
Distintivo Empresa Incluyente Gilberto Rincón Gallardo.
Distintivo G
Dictamen de evaluación de la conformidad de la NMX-AA-157-SCFI-2012
Ley General para la Igualdad entre Mujeres y Hombres
Ley General para la Inclusión de las Personas con Discapacidad
Ley General para Prevenir, Sancionar y Erradicar los Delitos en Materia de Trata de Personas y para la Protección y Asistencia a Víctimas de estos Delitos
Ley para la Protección de los Derechos de Niñas, Niños y Adolescentes.
</t>
  </si>
  <si>
    <t xml:space="preserve">NMX-R-050-SCFI-2006
NOM-015-SSA3-2012
LFT
(Capítulo primero)
Distintivo G
Ley General para la Igualdad entre Mujeres y Hombres
Ley General para Prevenir, Sancionar y Erradicar los Delitos en Materia de Trata de Personas y para la Protección y Asistencia a Víctimas de estos Delitos
</t>
  </si>
  <si>
    <t xml:space="preserve">NMX-CC-9001-IMNC-2008 
NMX-CC-9004-IMNC-2009
NMX-SAST-26000-IMNC-2011
NMX-SAST-001-IMNC-2008
PROY-NMX-SAST-002-IMNC-2011
Sello de Calidad “Punto Limpio”
Distintivo Empresa Segura. STPS
NOM-019-STPS-2011
NOM 021 STPS1994
NOM 025 STPS 2008
NOM-026-STPS-2008
NOM 030 STPS 2009
NOM-127-SSA1-1994
NOM-004-STPS-1999
NOM-001-STPS-2008
NOM-002-STPS-2010
NOM-006-STPS-2000
NOM-017-STPS-2008
NOM-019-STPS-2011
NOM-020-STPS-2011
NOM-022-STPS-2008
NOM-029-STPS-2011
NOM-030-STPS-2009
LFT
Reglamento General de Seguridad, Higiene y Medio Ambiente en el Trabajo
Reglamento de la Ley  General de Protección Civil
</t>
  </si>
  <si>
    <t xml:space="preserve">Distintivo Moderniza I
Distintivo Moderniza II
NMX-CC-9001-IMNC-2008  
NMX-CC-9004-IMNC-2009
NMX-R-050-SCFI-2006
NOM-07-TUR.2002
NOM-07-TUR.2002
NOM-003 -SEGOB-2011
NOM-001-STPS-2008
NOM-029-STPS-2011
NOM-015-SSA3-2012
NOM-021-STPS-1993
Ley General de Protección Civil y Reglamento 
</t>
  </si>
  <si>
    <t xml:space="preserve">NMX-SAST-26000-IMNC-2011
NMX-CC-10015-IMNC-2002
NMX-AA-157-SCFI-2012
NMX-AA-171-SCFI-2014
Certificado RSE
Estándares de competencia laboral aplicables
FLT
(Art. 153)
Acuerdo de Capacitación 2013 STPS
Acuerdo por el que se dan a conocer los formatos para realizar los trámites administrativos en materia de capacitación y adiestramiento, emitido por la STPS.
</t>
  </si>
  <si>
    <t xml:space="preserve">NMX-SAST-26000-IMNC-2011
NMX-CC-9001-IMNC-2008  
NMX-CC-9004-IMNC-2009
NMX-CC-10014-IMNC-2008
Distintivo Moderniza I
Distintivo Moderniza II
NMX cc 10014 IMNC 2008
Certificado RSE
</t>
  </si>
  <si>
    <t xml:space="preserve">Distintivo Moderniza I
Distintivo Moderniza II
Distintivo S
NMX-CC-9001-IMNC-2008  
NMX-CC-9004-IMNC-2009
Ley Federal de Protección al Consumidor
</t>
  </si>
  <si>
    <t xml:space="preserve">NOM-010-TUR-2001
NOM-029-SCFI-2010
NOM-174-SCFI-2007
NOM-028-SCFI-2007
Ley Federal de Protección al Consumidor
</t>
  </si>
  <si>
    <t xml:space="preserve">Ley de responsabilidad ambiental
Ley General de equilibrio ecológico y protección al ambiente
Ley general para la prevención y gestión integral de residuos
NMX-AA-162-SCFI-2012
NMX-AA-163-SCFI-2012
NMX-AA-133-SCFI-2006
NMX-AA-157-SCFI-2012
NMX-AA-164-SCFI-2013
NMX-AA-171-SCFI-2014
NMX-SAA-14001-IMNC-2004
NMX-SAA-14004-IMNC-2004
NMX-SAA-14015-IMNC-2006
NMX-J-SAA-50001-ANCE-IMNC-2011
Certificado de calidad ambiental turística
Certificado de calidad ambiental 
Distintivo S
Certificado Green Key
Certificado Earthcheck
Distintivo Moderniza I
Distintivo Moderniza II
NMX-SAST-26000-IMNC-2011
NOM-059-SEMARNAT-2010
NOM-022-SEMARNAT-2003
NOM-162-SEMARNAT-2012
NOM-127-SSA1-1994
NOM-245-SSA1-2010
</t>
  </si>
  <si>
    <t xml:space="preserve">NMX-SAST-26000-IMNC-2011
Certificado RSE
NMX-AA-171-SCFI-2014, NMX-AA-157-SCFI-2012
NMX-AA-157-SCFI-2012
Ley General para la Inclusión de las Personas con Discapacidad
Ley Federal para Prevenir y Eliminar la Discriminación
Ley General para Prevenir, Sancionar y Erradicar los Delitos en Materia de Trata de Personas y para la Protección y Asistencia a Víctimas de estos Delitos
Ley para la Protección de los Derechos de Niñas, Niños y Adolescentes
</t>
  </si>
  <si>
    <t>Normas Mexicanas (NMX) aplicables al subsector Spa</t>
  </si>
  <si>
    <r>
      <rPr>
        <b/>
        <sz val="11"/>
        <color theme="1"/>
        <rFont val="Soberana Sans Light"/>
        <family val="3"/>
      </rPr>
      <t xml:space="preserve">NMX-TT-009-IMNC-2004
</t>
    </r>
    <r>
      <rPr>
        <sz val="11"/>
        <color theme="1"/>
        <rFont val="Soberana Sans Light"/>
        <family val="3"/>
      </rPr>
      <t>Spas-requisitos básicos de calidad en el servicio e instalaciones.</t>
    </r>
  </si>
  <si>
    <r>
      <t xml:space="preserve">NMX-R-025-SCFI-2012
</t>
    </r>
    <r>
      <rPr>
        <sz val="11"/>
        <color theme="1"/>
        <rFont val="Soberana Sans Light"/>
        <family val="3"/>
      </rPr>
      <t>Para la igualdad laboral entre mujeres y hombres (cancela a la nmx-r-025-scfi-2009) publicada en el diario oficial de la federación el 23 de noviembre de 2012.</t>
    </r>
  </si>
  <si>
    <r>
      <rPr>
        <b/>
        <sz val="11"/>
        <color theme="1"/>
        <rFont val="Soberana Sans Light"/>
        <family val="3"/>
      </rPr>
      <t xml:space="preserve">NMX-AA-162-SCFI-2012
</t>
    </r>
    <r>
      <rPr>
        <sz val="11"/>
        <color theme="1"/>
        <rFont val="Soberana Sans Light"/>
        <family val="3"/>
      </rPr>
      <t>Auditoría ambiental – metodología para  realizar auditorías y diagnósticos, ambientales y verificaciones de cumplimiento del plan de acción - determinación del nivel de desempeño ambiental de una empresa - evaluación del desempeño de auditores ambientales.</t>
    </r>
  </si>
  <si>
    <r>
      <rPr>
        <b/>
        <sz val="11"/>
        <color theme="1"/>
        <rFont val="Soberana Sans Light"/>
        <family val="3"/>
      </rPr>
      <t xml:space="preserve">NMX-AA-163-SCFI-2012 
</t>
    </r>
    <r>
      <rPr>
        <sz val="11"/>
        <color theme="1"/>
        <rFont val="Soberana Sans Light"/>
        <family val="3"/>
      </rPr>
      <t>Auditoría ambiental - procedimiento y requisitos para elaborar un reporte de desempeño ambiental de las empresas.</t>
    </r>
  </si>
  <si>
    <r>
      <rPr>
        <b/>
        <sz val="11"/>
        <color theme="1"/>
        <rFont val="Soberana Sans Light"/>
        <family val="3"/>
      </rPr>
      <t xml:space="preserve">NMX-AA-133-SCFI-2006
</t>
    </r>
    <r>
      <rPr>
        <sz val="11"/>
        <color theme="1"/>
        <rFont val="Soberana Sans Light"/>
        <family val="3"/>
      </rPr>
      <t>Requisitos y especificaciones de los servicios turísticos para obtener certificación ambiental ecoturismo. (publicado como proyecto)</t>
    </r>
  </si>
  <si>
    <r>
      <rPr>
        <b/>
        <sz val="11"/>
        <color theme="1"/>
        <rFont val="Soberana Sans Light"/>
        <family val="3"/>
      </rPr>
      <t xml:space="preserve">NMX F 610 NORMEX 2002
</t>
    </r>
    <r>
      <rPr>
        <sz val="11"/>
        <color theme="1"/>
        <rFont val="Soberana Sans Light"/>
        <family val="3"/>
      </rPr>
      <t>Alimentos-disposiciones técnicas para la prestación de servicios en materia de desinfección y control de plagas.</t>
    </r>
  </si>
  <si>
    <r>
      <rPr>
        <b/>
        <sz val="11"/>
        <color theme="1"/>
        <rFont val="Soberana Sans Light"/>
        <family val="3"/>
      </rPr>
      <t xml:space="preserve">NMX-F-618-NORMEX-2006
</t>
    </r>
    <r>
      <rPr>
        <sz val="11"/>
        <color theme="1"/>
        <rFont val="Soberana Sans Light"/>
        <family val="3"/>
      </rPr>
      <t>Alimentos.- Manipulación de los alimentos preparados que se ofrecen en establecimientos fijos "Distintivo CANIRAC".</t>
    </r>
  </si>
  <si>
    <r>
      <rPr>
        <b/>
        <sz val="11"/>
        <color theme="1"/>
        <rFont val="Soberana Sans Light"/>
        <family val="3"/>
      </rPr>
      <t xml:space="preserve">NMX-SAST-26000-IMNC-2011
</t>
    </r>
    <r>
      <rPr>
        <sz val="11"/>
        <color theme="1"/>
        <rFont val="Soberana Sans Light"/>
        <family val="3"/>
      </rPr>
      <t>Guía sobre responsabilidad social. (CANCELA A LA NMX-SAST-004-IMNC-2004).</t>
    </r>
  </si>
  <si>
    <r>
      <rPr>
        <b/>
        <sz val="11"/>
        <color theme="1"/>
        <rFont val="Soberana Sans Light"/>
        <family val="3"/>
      </rPr>
      <t xml:space="preserve">NMX-SAST-001-IMNC-2008
BSI OHSAS 18001:2007
</t>
    </r>
    <r>
      <rPr>
        <sz val="11"/>
        <color theme="1"/>
        <rFont val="Soberana Sans Light"/>
        <family val="3"/>
      </rPr>
      <t>Sistemas de gestión de seguridad y salud en el trabajo – Requisitos (Incluye Aclaración 1 NMX-SAST-001-IMNC-2008). (CANCELA A LA NMX-SAST-001-IMNC-2000).</t>
    </r>
  </si>
  <si>
    <r>
      <rPr>
        <b/>
        <sz val="11"/>
        <color theme="1"/>
        <rFont val="Soberana Sans Light"/>
        <family val="3"/>
      </rPr>
      <t xml:space="preserve">PROY-NMX-SAST-002-IMNC-2011
</t>
    </r>
    <r>
      <rPr>
        <sz val="11"/>
        <color theme="1"/>
        <rFont val="Soberana Sans Light"/>
        <family val="3"/>
      </rPr>
      <t>Sistemas de gestión de seguridad y salud en el trabajo – Directrices para la implementación de la Norma Mexicana NMX-SAST-001-IMNC-2008.</t>
    </r>
  </si>
  <si>
    <r>
      <rPr>
        <b/>
        <sz val="11"/>
        <color theme="1"/>
        <rFont val="Soberana Sans Light"/>
        <family val="3"/>
      </rPr>
      <t xml:space="preserve">NMX-SAA-14063-IMNC-2007
ISO 14063:2006 
</t>
    </r>
    <r>
      <rPr>
        <sz val="11"/>
        <color theme="1"/>
        <rFont val="Soberana Sans Light"/>
        <family val="3"/>
      </rPr>
      <t>Gestión ambiental - Comunicación ambiental - Directrices y ejemplos.</t>
    </r>
  </si>
  <si>
    <r>
      <rPr>
        <b/>
        <sz val="11"/>
        <color theme="1"/>
        <rFont val="Soberana Sans Light"/>
        <family val="3"/>
      </rPr>
      <t xml:space="preserve">NMX-J-SAA-50001-ANCE-IMNC-2011
ISO 50001:2011
</t>
    </r>
    <r>
      <rPr>
        <sz val="11"/>
        <color theme="1"/>
        <rFont val="Soberana Sans Light"/>
        <family val="3"/>
      </rPr>
      <t>Sistema de gestión de la energía - Requisitos con orientación para su uso.</t>
    </r>
  </si>
  <si>
    <r>
      <rPr>
        <b/>
        <sz val="11"/>
        <color theme="1"/>
        <rFont val="Soberana Sans Light"/>
        <family val="3"/>
      </rPr>
      <t xml:space="preserve">NMX-SAA-14001-IMNC-2004
ISO 14001:2004 COPANT/ISO 14001:2004
</t>
    </r>
    <r>
      <rPr>
        <sz val="11"/>
        <color theme="1"/>
        <rFont val="Soberana Sans Light"/>
        <family val="3"/>
      </rPr>
      <t>Sistema de gestión ambiental - Requisitos con orientación para su uso.</t>
    </r>
  </si>
  <si>
    <r>
      <rPr>
        <b/>
        <sz val="11"/>
        <color theme="1"/>
        <rFont val="Soberana Sans Light"/>
        <family val="3"/>
      </rPr>
      <t xml:space="preserve">NMX-SAA-14004-IMNC-2004
ISO 14004:2004 COPANT-ISO 14004:2004
</t>
    </r>
    <r>
      <rPr>
        <sz val="11"/>
        <color theme="1"/>
        <rFont val="Soberana Sans Light"/>
        <family val="3"/>
      </rPr>
      <t>Sistema de gestión ambiental - Directrices generales sobre principios, sistemas y técnicas de apoyo.</t>
    </r>
  </si>
  <si>
    <r>
      <rPr>
        <b/>
        <sz val="11"/>
        <color theme="1"/>
        <rFont val="Soberana Sans Light"/>
        <family val="3"/>
      </rPr>
      <t xml:space="preserve">NMX-SAA-14015-IMNC-2006
ISO 14015:2001 COPANT - ISO 14015:2007 (ISO 14015:2001)
</t>
    </r>
    <r>
      <rPr>
        <sz val="11"/>
        <color theme="1"/>
        <rFont val="Soberana Sans Light"/>
        <family val="3"/>
      </rPr>
      <t>Gestión ambiental - Evaluación ambiental de sitios y organizaciones (EASO).</t>
    </r>
  </si>
  <si>
    <r>
      <rPr>
        <b/>
        <sz val="11"/>
        <color theme="1"/>
        <rFont val="Soberana Sans Light"/>
        <family val="3"/>
      </rPr>
      <t xml:space="preserve">NMX-SAA-14050-IMNC-2009
ISO 14050:2009
</t>
    </r>
    <r>
      <rPr>
        <sz val="11"/>
        <color theme="1"/>
        <rFont val="Soberana Sans Light"/>
        <family val="3"/>
      </rPr>
      <t>Gestión ambiental – Vocabulario.</t>
    </r>
  </si>
  <si>
    <r>
      <rPr>
        <b/>
        <sz val="11"/>
        <color theme="1"/>
        <rFont val="Soberana Sans Light"/>
        <family val="3"/>
      </rPr>
      <t xml:space="preserve">NMX-CC-10001-INMC-2012
ISO 10001:2007
</t>
    </r>
    <r>
      <rPr>
        <sz val="11"/>
        <color theme="1"/>
        <rFont val="Soberana Sans Light"/>
        <family val="3"/>
      </rPr>
      <t>Gestión de la calidad - Satisfacción del cliente - Directrices para los códigos de conducta de las organizaciones.</t>
    </r>
  </si>
  <si>
    <r>
      <rPr>
        <b/>
        <sz val="11"/>
        <color theme="1"/>
        <rFont val="Soberana Sans Light"/>
        <family val="3"/>
      </rPr>
      <t xml:space="preserve">NMX-CC-10002-INMC-2005
ISO 10002:2004
COPANT/ISO 10002:2004
</t>
    </r>
    <r>
      <rPr>
        <sz val="11"/>
        <color theme="1"/>
        <rFont val="Soberana Sans Light"/>
        <family val="3"/>
      </rPr>
      <t>Gestión de la calidad - Satisfacción del cliente - Directrices para el tratamiento de las quejas en las organizaciones.</t>
    </r>
  </si>
  <si>
    <r>
      <rPr>
        <b/>
        <sz val="11"/>
        <color theme="1"/>
        <rFont val="Soberana Sans Light"/>
        <family val="3"/>
      </rPr>
      <t xml:space="preserve">NMX-CC-10003-INMC-2012
ISO 10003:2007
</t>
    </r>
    <r>
      <rPr>
        <sz val="11"/>
        <color theme="1"/>
        <rFont val="Soberana Sans Light"/>
        <family val="3"/>
      </rPr>
      <t>Gestión de la calidad - Satisfacción del cliente - Directrices para la resolución de conflictos externa a las organizaciones.</t>
    </r>
  </si>
  <si>
    <r>
      <rPr>
        <b/>
        <sz val="11"/>
        <color theme="1"/>
        <rFont val="Soberana Sans Light"/>
        <family val="3"/>
      </rPr>
      <t xml:space="preserve">NMX-CC-10013-IMNC-2002
ISO/TR 10013:2001 COPANT/ISO 10013:2002
</t>
    </r>
    <r>
      <rPr>
        <sz val="11"/>
        <color theme="1"/>
        <rFont val="Soberana Sans Light"/>
        <family val="3"/>
      </rPr>
      <t>Directrices para la documentación de sistemas de gestión de la calidad.</t>
    </r>
  </si>
  <si>
    <r>
      <rPr>
        <b/>
        <sz val="11"/>
        <color theme="1"/>
        <rFont val="Soberana Sans Light"/>
        <family val="3"/>
      </rPr>
      <t xml:space="preserve">NMX-CC-10014-IMNC-2008
ISO 10014:2006
</t>
    </r>
    <r>
      <rPr>
        <sz val="11"/>
        <color theme="1"/>
        <rFont val="Soberana Sans Light"/>
        <family val="3"/>
      </rPr>
      <t>Gestión de la calidad - Directrices para la obtención de beneficios financieros y económicos.</t>
    </r>
  </si>
  <si>
    <r>
      <rPr>
        <b/>
        <sz val="11"/>
        <color theme="1"/>
        <rFont val="Soberana Sans Light"/>
        <family val="3"/>
      </rPr>
      <t xml:space="preserve">NMX-CC-10015-IMNC-2002
ISO 10015:1999
</t>
    </r>
    <r>
      <rPr>
        <sz val="11"/>
        <color theme="1"/>
        <rFont val="Soberana Sans Light"/>
        <family val="3"/>
      </rPr>
      <t>Gestión de la calidad - Directrices para la formación del personal.</t>
    </r>
  </si>
  <si>
    <r>
      <rPr>
        <b/>
        <sz val="11"/>
        <color theme="1"/>
        <rFont val="Soberana Sans Light"/>
        <family val="3"/>
      </rPr>
      <t xml:space="preserve">NMX-CC-9000-IMNC-2008
ISO 9000:2005 COPANT/ISO 9000:2005
</t>
    </r>
    <r>
      <rPr>
        <sz val="11"/>
        <color theme="1"/>
        <rFont val="Soberana Sans Light"/>
        <family val="3"/>
      </rPr>
      <t>Sistemas de gestión de la calidad - Fundamentos y vocabulario.</t>
    </r>
  </si>
  <si>
    <r>
      <rPr>
        <b/>
        <sz val="11"/>
        <color theme="1"/>
        <rFont val="Soberana Sans Light"/>
        <family val="3"/>
      </rPr>
      <t xml:space="preserve">NMX-CC-9001-IMNC-2008
ISO 9001:2008 COPANT/ISO 9001:2008
</t>
    </r>
    <r>
      <rPr>
        <sz val="11"/>
        <color theme="1"/>
        <rFont val="Soberana Sans Light"/>
        <family val="3"/>
      </rPr>
      <t>Sistemas de gestión de la calidad – Requisitos.</t>
    </r>
  </si>
  <si>
    <r>
      <rPr>
        <b/>
        <sz val="11"/>
        <color theme="1"/>
        <rFont val="Soberana Sans Light"/>
        <family val="3"/>
      </rPr>
      <t xml:space="preserve">NMX-CC-9004-IMNC-2009
ISO 9004:2009 COPANT/ISO 9004:2009
</t>
    </r>
    <r>
      <rPr>
        <sz val="11"/>
        <color theme="1"/>
        <rFont val="Soberana Sans Light"/>
        <family val="3"/>
      </rPr>
      <t>Gestión para el éxito sostenido de una organización –Enfoque de gestión de la calidad.</t>
    </r>
  </si>
  <si>
    <r>
      <rPr>
        <b/>
        <sz val="11"/>
        <color theme="1"/>
        <rFont val="Soberana Sans Light"/>
        <family val="3"/>
      </rPr>
      <t>NMX-CC-19011-IMNC-2012
ISO 19011:2011</t>
    </r>
    <r>
      <rPr>
        <sz val="11"/>
        <color theme="1"/>
        <rFont val="Soberana Sans Light"/>
        <family val="3"/>
      </rPr>
      <t xml:space="preserve">
Directrices para la auditoria de los sistemas de gestión.</t>
    </r>
  </si>
  <si>
    <t>Certificaciones, Sellos, Distintivos y Reconocimientos aplicables al subsector Spa</t>
  </si>
  <si>
    <r>
      <rPr>
        <b/>
        <sz val="11"/>
        <color theme="1"/>
        <rFont val="Soberana Sans Light"/>
        <family val="3"/>
      </rPr>
      <t>Distintivo Empresa Socialmente Responsable.</t>
    </r>
    <r>
      <rPr>
        <sz val="11"/>
        <color theme="1"/>
        <rFont val="Soberana Sans Light"/>
        <family val="3"/>
      </rPr>
      <t xml:space="preserve"> CEMEFI</t>
    </r>
  </si>
  <si>
    <r>
      <rPr>
        <b/>
        <sz val="11"/>
        <color theme="1"/>
        <rFont val="Soberana Sans Light"/>
        <family val="3"/>
      </rPr>
      <t>Distintivo CONAISPA.</t>
    </r>
    <r>
      <rPr>
        <sz val="11"/>
        <color theme="1"/>
        <rFont val="Soberana Sans Light"/>
        <family val="3"/>
      </rPr>
      <t xml:space="preserve"> CONAISPA</t>
    </r>
  </si>
  <si>
    <r>
      <rPr>
        <b/>
        <sz val="11"/>
        <color theme="1"/>
        <rFont val="Soberana Sans Light"/>
        <family val="3"/>
      </rPr>
      <t>Certificado Management Spa.</t>
    </r>
    <r>
      <rPr>
        <sz val="11"/>
        <color theme="1"/>
        <rFont val="Soberana Sans Light"/>
        <family val="3"/>
      </rPr>
      <t xml:space="preserve"> ALSPA</t>
    </r>
  </si>
  <si>
    <t>Estándares de Competencia Laboral (CONOCER) aplicables al subsector Spa</t>
  </si>
  <si>
    <r>
      <rPr>
        <b/>
        <sz val="11"/>
        <color theme="1"/>
        <rFont val="Soberana Sans Light"/>
        <family val="3"/>
      </rPr>
      <t xml:space="preserve">EC0010
</t>
    </r>
    <r>
      <rPr>
        <sz val="11"/>
        <color theme="1"/>
        <rFont val="Soberana Sans Light"/>
        <family val="3"/>
      </rPr>
      <t>Prestación de servicios estéticos corporales.</t>
    </r>
  </si>
  <si>
    <r>
      <rPr>
        <b/>
        <sz val="11"/>
        <color theme="1"/>
        <rFont val="Soberana Sans Light"/>
        <family val="3"/>
      </rPr>
      <t xml:space="preserve">EC0046
</t>
    </r>
    <r>
      <rPr>
        <sz val="11"/>
        <color theme="1"/>
        <rFont val="Soberana Sans Light"/>
        <family val="3"/>
      </rPr>
      <t>Prestación de servicios cosmetológicos faciales.</t>
    </r>
  </si>
  <si>
    <r>
      <rPr>
        <b/>
        <sz val="11"/>
        <color theme="1"/>
        <rFont val="Soberana Sans Light"/>
        <family val="3"/>
      </rPr>
      <t xml:space="preserve">EC0060
</t>
    </r>
    <r>
      <rPr>
        <sz val="11"/>
        <color theme="1"/>
        <rFont val="Soberana Sans Light"/>
        <family val="3"/>
      </rPr>
      <t>Vigilancia presencial de bienes y personas</t>
    </r>
  </si>
  <si>
    <r>
      <rPr>
        <b/>
        <sz val="11"/>
        <color theme="1"/>
        <rFont val="Soberana Sans Light"/>
        <family val="3"/>
      </rPr>
      <t xml:space="preserve">EC0100
</t>
    </r>
    <r>
      <rPr>
        <sz val="11"/>
        <color theme="1"/>
        <rFont val="Soberana Sans Light"/>
        <family val="3"/>
      </rPr>
      <t>Procesamiento de efectivo y documentos</t>
    </r>
  </si>
  <si>
    <r>
      <rPr>
        <b/>
        <sz val="11"/>
        <color theme="1"/>
        <rFont val="Soberana Sans Light"/>
        <family val="3"/>
      </rPr>
      <t xml:space="preserve">EC0117
</t>
    </r>
    <r>
      <rPr>
        <sz val="11"/>
        <color theme="1"/>
        <rFont val="Soberana Sans Light"/>
        <family val="3"/>
      </rPr>
      <t>Aplicación de masaje Ayurveda Abhyanga.</t>
    </r>
  </si>
  <si>
    <r>
      <rPr>
        <b/>
        <sz val="11"/>
        <color theme="1"/>
        <rFont val="Soberana Sans Light"/>
        <family val="3"/>
      </rPr>
      <t xml:space="preserve">EC0122
</t>
    </r>
    <r>
      <rPr>
        <sz val="11"/>
        <color theme="1"/>
        <rFont val="Soberana Sans Light"/>
        <family val="3"/>
      </rPr>
      <t>Aplicación de Masaje Tejido Profundo.</t>
    </r>
  </si>
  <si>
    <r>
      <rPr>
        <b/>
        <sz val="11"/>
        <color theme="1"/>
        <rFont val="Soberana Sans Light"/>
        <family val="3"/>
      </rPr>
      <t xml:space="preserve">EC0123
</t>
    </r>
    <r>
      <rPr>
        <sz val="11"/>
        <color theme="1"/>
        <rFont val="Soberana Sans Light"/>
        <family val="3"/>
      </rPr>
      <t>Aplicación de Masaje Holístico.</t>
    </r>
  </si>
  <si>
    <r>
      <rPr>
        <b/>
        <sz val="11"/>
        <color theme="1"/>
        <rFont val="Soberana Sans Light"/>
        <family val="3"/>
      </rPr>
      <t xml:space="preserve">EC0124
</t>
    </r>
    <r>
      <rPr>
        <sz val="11"/>
        <color theme="1"/>
        <rFont val="Soberana Sans Light"/>
        <family val="3"/>
      </rPr>
      <t>Aplicación de masaje sueco.</t>
    </r>
  </si>
  <si>
    <r>
      <t xml:space="preserve">EC0143
</t>
    </r>
    <r>
      <rPr>
        <sz val="11"/>
        <color theme="1"/>
        <rFont val="Soberana Sans Light"/>
        <family val="3"/>
      </rPr>
      <t>Aplicación de Masaje Shiatsu.</t>
    </r>
  </si>
  <si>
    <r>
      <rPr>
        <b/>
        <sz val="11"/>
        <color theme="1"/>
        <rFont val="Soberana Sans Light"/>
        <family val="3"/>
      </rPr>
      <t xml:space="preserve">EC0180
</t>
    </r>
    <r>
      <rPr>
        <sz val="11"/>
        <color theme="1"/>
        <rFont val="Soberana Sans Light"/>
        <family val="3"/>
      </rPr>
      <t>Promoción de la cultura del agua.</t>
    </r>
  </si>
  <si>
    <r>
      <rPr>
        <b/>
        <sz val="11"/>
        <color theme="1"/>
        <rFont val="Soberana Sans Light"/>
        <family val="3"/>
      </rPr>
      <t>EC0183</t>
    </r>
    <r>
      <rPr>
        <sz val="11"/>
        <color theme="1"/>
        <rFont val="Soberana Sans Light"/>
        <family val="3"/>
      </rPr>
      <t xml:space="preserve">
Prestación del servicio al cliente del negocio Spa.</t>
    </r>
  </si>
  <si>
    <r>
      <rPr>
        <b/>
        <sz val="11"/>
        <color theme="1"/>
        <rFont val="Soberana Sans Light"/>
        <family val="3"/>
      </rPr>
      <t xml:space="preserve">EC0186
</t>
    </r>
    <r>
      <rPr>
        <sz val="11"/>
        <color theme="1"/>
        <rFont val="Soberana Sans Light"/>
        <family val="3"/>
      </rPr>
      <t>Gestión del Negocio Spa.</t>
    </r>
  </si>
  <si>
    <r>
      <rPr>
        <b/>
        <sz val="11"/>
        <color theme="1"/>
        <rFont val="Soberana Sans Light"/>
        <family val="3"/>
      </rPr>
      <t xml:space="preserve">EC0205
</t>
    </r>
    <r>
      <rPr>
        <sz val="11"/>
        <color theme="1"/>
        <rFont val="Soberana Sans Light"/>
        <family val="3"/>
      </rPr>
      <t>Conducción de práctica de yoga: nivel preparador básico.</t>
    </r>
  </si>
  <si>
    <r>
      <rPr>
        <b/>
        <sz val="11"/>
        <color theme="1"/>
        <rFont val="Soberana Sans Light"/>
        <family val="3"/>
      </rPr>
      <t xml:space="preserve">EC0305
</t>
    </r>
    <r>
      <rPr>
        <sz val="11"/>
        <color theme="1"/>
        <rFont val="Soberana Sans Light"/>
        <family val="3"/>
      </rPr>
      <t>Prestación de servicios de atención a clientes.</t>
    </r>
  </si>
  <si>
    <r>
      <rPr>
        <b/>
        <sz val="11"/>
        <color theme="1"/>
        <rFont val="Soberana Sans Light"/>
        <family val="3"/>
      </rPr>
      <t xml:space="preserve">EC0333
</t>
    </r>
    <r>
      <rPr>
        <sz val="11"/>
        <color theme="1"/>
        <rFont val="Soberana Sans Light"/>
        <family val="3"/>
      </rPr>
      <t xml:space="preserve">Prestación de servicios podológicos preventivos. </t>
    </r>
  </si>
  <si>
    <r>
      <rPr>
        <b/>
        <sz val="11"/>
        <color theme="1"/>
        <rFont val="Soberana Sans Light"/>
        <family val="3"/>
      </rPr>
      <t xml:space="preserve">EC0356
</t>
    </r>
    <r>
      <rPr>
        <sz val="11"/>
        <color theme="1"/>
        <rFont val="Soberana Sans Light"/>
        <family val="3"/>
      </rPr>
      <t>Cuidado estético de uñas de manos y pies en nivel básico.</t>
    </r>
  </si>
  <si>
    <r>
      <rPr>
        <b/>
        <sz val="11"/>
        <color theme="1"/>
        <rFont val="Soberana Sans Light"/>
        <family val="3"/>
      </rPr>
      <t xml:space="preserve">EC0385
</t>
    </r>
    <r>
      <rPr>
        <sz val="11"/>
        <color theme="1"/>
        <rFont val="Soberana Sans Light"/>
        <family val="3"/>
      </rPr>
      <t>Prestación de servicios incluyentes para personas con discapacidad.</t>
    </r>
  </si>
  <si>
    <r>
      <rPr>
        <b/>
        <sz val="11"/>
        <color theme="1"/>
        <rFont val="Soberana Sans Light"/>
        <family val="3"/>
      </rPr>
      <t xml:space="preserve">EC 0427
</t>
    </r>
    <r>
      <rPr>
        <sz val="11"/>
        <color theme="1"/>
        <rFont val="Soberana Sans Light"/>
        <family val="3"/>
      </rPr>
      <t>Aplicación de masaje drenaje linfático manual</t>
    </r>
  </si>
  <si>
    <r>
      <rPr>
        <b/>
        <sz val="11"/>
        <color theme="1"/>
        <rFont val="Soberana Sans Light"/>
        <family val="3"/>
      </rPr>
      <t xml:space="preserve">EC0473
</t>
    </r>
    <r>
      <rPr>
        <sz val="11"/>
        <color theme="1"/>
        <rFont val="Soberana Sans Light"/>
        <family val="3"/>
      </rPr>
      <t>Instalación del sistema de calentamiento solar de agua de circulación forzada 
con termotanque</t>
    </r>
  </si>
  <si>
    <t>RFC</t>
  </si>
  <si>
    <t>Está legalmente constituido</t>
  </si>
  <si>
    <t>Cumple con las medidas de protección civil requeridas</t>
  </si>
  <si>
    <t>Aplica la normatividad laboral vigente</t>
  </si>
  <si>
    <t>Cumple con la normatividad medio ambiental vigente</t>
  </si>
  <si>
    <t>RESPUESTA(S) A PREGUNTA(S)</t>
  </si>
  <si>
    <t>Subsector SPA</t>
  </si>
  <si>
    <t>Marco Legal y Normativo</t>
  </si>
  <si>
    <r>
      <rPr>
        <b/>
        <sz val="11"/>
        <color theme="1"/>
        <rFont val="Soberana Sans Light"/>
        <family val="3"/>
      </rPr>
      <t>CONSTITUCIÓN POLÍTICA DE LOS ESTADOS UNIDOS MEXICANOS</t>
    </r>
    <r>
      <rPr>
        <sz val="11"/>
        <color theme="1"/>
        <rFont val="Soberana Sans Light"/>
        <family val="3"/>
      </rPr>
      <t xml:space="preserve">
Es la norma suprema que rige actualmente en México. Es el hacer político y legal para la organización y relación del gobierno federal con los Estados de México, los ciudadanos y todas las personas que viven o visitan el país. Es el máximo cuerpo normativo de nuestro sistema jurídico del cual emana todo ordenamiento legal ya sea federal o local. Contiene los principios y objetivos de la nación. Establece la existencia de órganos de autoridad, sus facultades y limitaciones, así como los derechos de los individuos y las vías para hacerlos efectivos. Incluye reformas, adiciones y derogaciones. Establece que todo individuo gozará de las garantías que otorga, las cuales no podrán restringirse ni suspenderse.</t>
    </r>
  </si>
  <si>
    <r>
      <rPr>
        <b/>
        <sz val="11"/>
        <color theme="1"/>
        <rFont val="Soberana Sans Light"/>
        <family val="3"/>
      </rPr>
      <t>LEY FEDERAL DEL TRABAJO</t>
    </r>
    <r>
      <rPr>
        <sz val="11"/>
        <color theme="1"/>
        <rFont val="Soberana Sans Light"/>
        <family val="3"/>
      </rPr>
      <t xml:space="preserve">
Normatividad aplicable en materia de condiciones generales de trabajo.
Normatividad aplicable en materia de capacitación</t>
    </r>
  </si>
  <si>
    <r>
      <rPr>
        <b/>
        <sz val="11"/>
        <color theme="1"/>
        <rFont val="Soberana Sans Light"/>
        <family val="3"/>
      </rPr>
      <t>LEY GENERAL DE PROTECCION CIVIL (FEDERAL Y LOCAL)</t>
    </r>
    <r>
      <rPr>
        <sz val="11"/>
        <color theme="1"/>
        <rFont val="Soberana Sans Light"/>
        <family val="3"/>
      </rPr>
      <t xml:space="preserve">
Establece la obligatoriedad de contar con un Programa Interno de Protección Civil y otras disposiciones para los particulares. Estas disposiciones se detallan en el Reglamento de la Ley.</t>
    </r>
  </si>
  <si>
    <r>
      <rPr>
        <b/>
        <sz val="11"/>
        <color theme="1"/>
        <rFont val="Soberana Sans Light"/>
        <family val="3"/>
      </rPr>
      <t>LEY DELSEGURO SOCIAL</t>
    </r>
    <r>
      <rPr>
        <sz val="11"/>
        <color theme="1"/>
        <rFont val="Soberana Sans Light"/>
        <family val="3"/>
      </rPr>
      <t xml:space="preserve">
Establece que la seguridad social tiene por finalidad garantizar el derecho a la salud, la asistencia médica, la protección de los medios de subsistencia y los servicios sociales necesarios para el bienestar individual y colectivo, así como el otorgamiento de una pensión que, en su caso y previo cumplimiento de los requisitos legales, será garantizada por el Estado.</t>
    </r>
  </si>
  <si>
    <r>
      <rPr>
        <b/>
        <sz val="11"/>
        <color theme="1"/>
        <rFont val="Soberana Sans Light"/>
        <family val="3"/>
      </rPr>
      <t>LEY GENERAL DE TURISMO</t>
    </r>
    <r>
      <rPr>
        <sz val="11"/>
        <color theme="1"/>
        <rFont val="Soberana Sans Light"/>
        <family val="3"/>
      </rPr>
      <t xml:space="preserve">
Tiene por objeto establecer las bases generales de coordinación de las facultades concurrentes entre el Ejecutivo Federal, Estados, Municipios y el Distrito Federal, así como la participación de los sectores social y privado; establecer las bases para la política, planeación y programación en todo el territorio nacional de la actividad turística, bajo criterios de beneficio social, sustentabilidad, competitividad y desarrollo equilibrado de los Estados, Municipios y el Distrito Federal, a corto, mediano y largo plazo; formular las reglas y procedimientos para establecer, el ordenamiento turístico del territorio nacional; entre otros.</t>
    </r>
  </si>
  <si>
    <r>
      <rPr>
        <b/>
        <sz val="11"/>
        <color theme="1"/>
        <rFont val="Soberana Sans Light"/>
        <family val="3"/>
      </rPr>
      <t>LEY FEDERAL DE PROTECCIÓN AL CONSUMIDOR</t>
    </r>
    <r>
      <rPr>
        <sz val="11"/>
        <color theme="1"/>
        <rFont val="Soberana Sans Light"/>
        <family val="3"/>
      </rPr>
      <t xml:space="preserve">
Tiene por objeto promover y proteger los derechos y cultura del consumidor y procurar la equidad, certeza y seguridad jurídica en las relaciones entre proveedores y consumidores; así también el registro del contrato de adhesión de acuerdo con la LFPC, para establecer en formatos uniformes los términos y condiciones aplicables a la adquisición de un producto o la prestación de un servicio.</t>
    </r>
  </si>
  <si>
    <r>
      <rPr>
        <b/>
        <sz val="11"/>
        <color theme="1"/>
        <rFont val="Soberana Sans Light"/>
        <family val="3"/>
      </rPr>
      <t>LEY FEDERAL DE PROTECCIÓN DE DATOS PERSONALES EN POSESIÓN DE PARTICULARES</t>
    </r>
    <r>
      <rPr>
        <sz val="11"/>
        <color theme="1"/>
        <rFont val="Soberana Sans Light"/>
        <family val="3"/>
      </rPr>
      <t xml:space="preserve">
Tiene por objeto la protección de los datos personales en posesión de los particulares, con la finalidad de regular su tratamiento legítimo, controlado e informado, a efecto de garantizar la privacidad y el derecho a la autodeterminación informativa de las personas.</t>
    </r>
  </si>
  <si>
    <r>
      <rPr>
        <b/>
        <sz val="11"/>
        <color theme="1"/>
        <rFont val="Soberana Sans Light"/>
        <family val="3"/>
      </rPr>
      <t>LEY FEDERAL DE RESPONSABILIDAD AMBIENTAL</t>
    </r>
    <r>
      <rPr>
        <sz val="11"/>
        <color theme="1"/>
        <rFont val="Soberana Sans Light"/>
        <family val="3"/>
      </rPr>
      <t xml:space="preserve">
Tiene por objeto regular  la responsabilidad ambiental que nace de los daños ocasionados al ambiente, así como su reparación y compensación. Se aplica a toda persona física o moral que con su acción u omisión ocasione directa o indirectamente un daño al ambiente.</t>
    </r>
  </si>
  <si>
    <r>
      <rPr>
        <b/>
        <sz val="11"/>
        <color theme="1"/>
        <rFont val="Soberana Sans Light"/>
        <family val="3"/>
      </rPr>
      <t xml:space="preserve">LEY GENERAL DE CAMBIO CLIMÁTICO </t>
    </r>
    <r>
      <rPr>
        <sz val="11"/>
        <color theme="1"/>
        <rFont val="Soberana Sans Light"/>
        <family val="3"/>
      </rPr>
      <t xml:space="preserve">
Tiene por objeto garantizar el derecho a un medio ambiente sano y establecer la concurrencia de facultades de la federación, las entidades federativas y los municipios en la elaboración y aplicación de políticas públicas para la adaptación al cambio climático y la mitigación de emisiones de gases y compuestos de efecto invernadero; Regular las acciones para la mitigación y adaptación al cambio climático; Establecer las bases para la concertación con la sociedad, y Promover la transición hacia una economía competitiva, sustentable y de bajas emisiones de carbono, entre otros.</t>
    </r>
  </si>
  <si>
    <r>
      <rPr>
        <b/>
        <sz val="11"/>
        <color theme="1"/>
        <rFont val="Soberana Sans Light"/>
        <family val="3"/>
      </rPr>
      <t>LEY GENERAL DE EQUILIBRIO ECOLÓGICO Y PROTECCIÓN AL AMBIENTE</t>
    </r>
    <r>
      <rPr>
        <sz val="11"/>
        <color theme="1"/>
        <rFont val="Soberana Sans Light"/>
        <family val="3"/>
      </rPr>
      <t xml:space="preserve">
Esta Ley es reglamentaria de las disposiciones de la Constitución Política de los Estados Unidos Mexicanos que se refieren a la preservación y restauración del equilibrio ecológico, así como a la protección al ambiente, en el territorio nacional y las zonas sobre las que la nación ejerce su soberanía y jurisdicción.</t>
    </r>
  </si>
  <si>
    <r>
      <rPr>
        <b/>
        <sz val="11"/>
        <color theme="1"/>
        <rFont val="Soberana Sans Light"/>
        <family val="3"/>
      </rPr>
      <t>LEY GENERAL PARA LA PREVENCIÓN Y GESTIÓN INTEGRAL DE RESIDUOS</t>
    </r>
    <r>
      <rPr>
        <sz val="11"/>
        <color theme="1"/>
        <rFont val="Soberana Sans Light"/>
        <family val="3"/>
      </rPr>
      <t xml:space="preserve">
Esta Ley es reglamentaria de las disposiciones de la Constitución Política de los Estados Unidos Mexicanos que se refieren a la protección al ambiente en materia de prevención y gestión integral de residuos, en el territorio nacional.</t>
    </r>
  </si>
  <si>
    <r>
      <rPr>
        <b/>
        <sz val="11"/>
        <color theme="1"/>
        <rFont val="Soberana Sans Light"/>
        <family val="3"/>
      </rPr>
      <t>LEY GENERAL PARA LA IGUALDAD ENTRE MUJERES Y HOMBRES</t>
    </r>
    <r>
      <rPr>
        <sz val="11"/>
        <color theme="1"/>
        <rFont val="Soberana Sans Light"/>
        <family val="3"/>
      </rPr>
      <t xml:space="preserve">
Tiene por objeto regular y garantizar la igualdad de oportunidades y de trato entre mujeres y hombres, proponer los lineamientos y mecanismos institucionales que orienten a la Nación hacia el cumplimiento de la igualdad sustantiva en los ámbitos público y privado, promoviendo el empoderamiento de las mujeres y la lucha contra toda discriminación basada en el sexo.</t>
    </r>
  </si>
  <si>
    <r>
      <rPr>
        <b/>
        <sz val="11"/>
        <color theme="1"/>
        <rFont val="Soberana Sans Light"/>
        <family val="3"/>
      </rPr>
      <t>LEY GENERAL PARA LA INCLUSIÓN DE LAS PERSONAS CON DISCAPACIDAD</t>
    </r>
    <r>
      <rPr>
        <sz val="11"/>
        <color theme="1"/>
        <rFont val="Soberana Sans Light"/>
        <family val="3"/>
      </rPr>
      <t xml:space="preserve">
Tiene por objeto reglamentar en lo conducente, el Artículo 1o. de la Constitución Política de los Estados Unidos Mexicanos estableciendo las condiciones en las que el Estado deberá promover, proteger y asegurar el pleno ejercicio de los derechos humanos y libertades fundamentales de las personas con discapacidad, asegurando su plena inclusión a la sociedad en un marco de respeto, igualdad y equiparación de oportunidades. De manera enunciativa y no limitativa, esta Ley reconoce a las personas con discapacidad sus derechos humanos y mandata el establecimiento de las políticas públicas necesarias para su ejercicio.</t>
    </r>
  </si>
  <si>
    <r>
      <rPr>
        <b/>
        <sz val="11"/>
        <color theme="1"/>
        <rFont val="Soberana Sans Light"/>
        <family val="3"/>
      </rPr>
      <t>LEY FEDERAL PARA PREVENIR Y ELIMINAR LA DISCRIMINACIÓN</t>
    </r>
    <r>
      <rPr>
        <sz val="11"/>
        <color theme="1"/>
        <rFont val="Soberana Sans Light"/>
        <family val="3"/>
      </rPr>
      <t xml:space="preserve">
Tiene por objeto prevenir y eliminar todas las formas de discriminación que se ejerzan contra cualquier persona en los términos del Artículo 1 de la Constitución Política de los Estados Unidos Mexicanos, así como promover la igualdad de oportunidades y de trato.</t>
    </r>
  </si>
  <si>
    <r>
      <rPr>
        <b/>
        <sz val="11"/>
        <color theme="1"/>
        <rFont val="Soberana Sans Light"/>
        <family val="3"/>
      </rPr>
      <t>LEY GENERAL PARA PREVENIR, SANCIONAR Y ERRADICAR LOS DELITOS EN MATERIA DE TRATA DE PERSONAS Y PARA LA PROTECCIÓN Y ASISTENCIA A VÍCTIMAS DE ESTOS DELITOS</t>
    </r>
    <r>
      <rPr>
        <sz val="11"/>
        <color theme="1"/>
        <rFont val="Soberana Sans Light"/>
        <family val="3"/>
      </rPr>
      <t xml:space="preserve">
Tiene por objetos: Establecer competencias y formas de coordinación para la prevención, investigación, persecución y sanción de los delitos en materia de trata de personas entre los Gobiernos Federal, Estatales, del Distrito Federal y Municipales; Establecer los tipos penales en materia de trata de personas y sus sanciones; Determinar los procedimientos penales aplicables a estos delitos; La distribución de competencias y formas de coordinación en materia de protección y asistencia a las víctimas de los delitos objeto de esta Ley; Establecer mecanismos efectivos para tutelar la vida, la dignidad, la libertad, la integridad y la seguridad de las personas, así como el libre desarrollo de niñas, niños y adolescentes, cuando sean amenazados o lesionados por la comisión de los delitos objeto de esta Ley; y Reparar el daño a las víctimas de trata de personas de manera integral, adecuada, eficaz y efectiva, proporcional a la gravedad del daño causado y a la afectación sufrida.</t>
    </r>
  </si>
  <si>
    <r>
      <rPr>
        <b/>
        <sz val="11"/>
        <color theme="1"/>
        <rFont val="Soberana Sans Light"/>
        <family val="3"/>
      </rPr>
      <t>LEY PARA LA PROTECCIÓN DE LOS DERECHOS DE NIÑAS, NIÑOS Y ADOLESCENTES.</t>
    </r>
    <r>
      <rPr>
        <sz val="11"/>
        <color theme="1"/>
        <rFont val="Soberana Sans Light"/>
        <family val="3"/>
      </rPr>
      <t xml:space="preserve">
La protección de los derechos de niñas, niños y adolescentes, tiene como objetivo asegurarles un desarrollo pleno e integral, lo que implica la oportunidad de formarse física, mental, emocional, social y moralmente en condiciones de igualdad. Para los efectos de esta ley, son niñas y niños las personas de hasta 12 años incompletos, y adolescentes los que tienen entre 12 años cumplidos y 18 años incumplidos.</t>
    </r>
  </si>
  <si>
    <r>
      <rPr>
        <b/>
        <sz val="11"/>
        <color theme="1"/>
        <rFont val="Soberana Sans Light"/>
        <family val="3"/>
      </rPr>
      <t>CÓDIGO FISCAL DE LA FEDERACIÓN</t>
    </r>
    <r>
      <rPr>
        <sz val="11"/>
        <color theme="1"/>
        <rFont val="Soberana Sans Light"/>
        <family val="3"/>
      </rPr>
      <t xml:space="preserve">
Establece que las personas físicas y las morales, están obligadas a contribuir para los gastos públicos conforme a las leyes fiscales respectivas. Las disposiciones de este Código se aplicarán en su defecto y sin perjuicio de lo dispuesto por los tratados internacionales de los que México sea parte. Sólo mediante ley podrá destinarse una contribución a un gasto público específico.</t>
    </r>
  </si>
  <si>
    <r>
      <rPr>
        <b/>
        <sz val="11"/>
        <color theme="1"/>
        <rFont val="Soberana Sans Light"/>
        <family val="3"/>
      </rPr>
      <t>REGLAMENTO GENERAL DE SEGURIDAD, HIGIENE Y MEDIO AMBIENTE DE TRABAJO</t>
    </r>
    <r>
      <rPr>
        <sz val="11"/>
        <color theme="1"/>
        <rFont val="Soberana Sans Light"/>
        <family val="3"/>
      </rPr>
      <t xml:space="preserve">
Tiene por objeto establecer las medidas necesarias de prevención de los accidentes y enfermedades de trabajo, tendientes a lograr que la prestación del trabajo se desarrolle en condiciones de seguridad, higiene y medio ambiente adecuados para los trabajadores, conforme a lo dispuesto en la Ley Federal del Trabajo y Tratados Internacionales.</t>
    </r>
  </si>
  <si>
    <r>
      <rPr>
        <b/>
        <sz val="11"/>
        <color theme="1"/>
        <rFont val="Soberana Sans Light"/>
        <family val="3"/>
      </rPr>
      <t>CÓDIGO FISCAL DE LA FEDERACIÓN  (FEDERAL)</t>
    </r>
    <r>
      <rPr>
        <sz val="11"/>
        <color theme="1"/>
        <rFont val="Soberana Sans Light"/>
        <family val="3"/>
      </rPr>
      <t xml:space="preserve">
Alta en Secretaria de Hacienda y Crédito Público.</t>
    </r>
  </si>
  <si>
    <t>NORMAS OFICIALES MEXICANAS (NOM´S) EN SEGURIDAD Y SALUD EN EL TRABAJO</t>
  </si>
  <si>
    <r>
      <rPr>
        <b/>
        <sz val="11"/>
        <color theme="1"/>
        <rFont val="Soberana Sans Light"/>
        <family val="3"/>
      </rPr>
      <t xml:space="preserve">NOM-003-SEGOB-2011
</t>
    </r>
    <r>
      <rPr>
        <sz val="11"/>
        <color theme="1"/>
        <rFont val="Soberana Sans Light"/>
        <family val="3"/>
      </rPr>
      <t>Señales y avisos para protección civil.- Colores, formas y símbolos a utilizar.</t>
    </r>
  </si>
  <si>
    <r>
      <rPr>
        <b/>
        <sz val="11"/>
        <color theme="1"/>
        <rFont val="Soberana Sans Light"/>
        <family val="3"/>
      </rPr>
      <t xml:space="preserve">NOM-011-SESH-2012
</t>
    </r>
    <r>
      <rPr>
        <sz val="11"/>
        <color theme="1"/>
        <rFont val="Soberana Sans Light"/>
        <family val="3"/>
      </rPr>
      <t>Calentadores de agua de uso doméstico y comercial que utilizan como combustible Gas L.P. o Gas Natural.- Requisitos de seguridad, especificaciones, métodos de prueba, marcado e información comercial (cancela a la NOM-020-SEDG-2003.</t>
    </r>
  </si>
  <si>
    <r>
      <rPr>
        <b/>
        <sz val="11"/>
        <color theme="1"/>
        <rFont val="Soberana Sans Light"/>
        <family val="3"/>
      </rPr>
      <t xml:space="preserve">NOM-008-CONAGUA-1998
</t>
    </r>
    <r>
      <rPr>
        <sz val="11"/>
        <color theme="1"/>
        <rFont val="Soberana Sans Light"/>
        <family val="3"/>
      </rPr>
      <t>Regaderas empleadas en el aseo corporal-especificaciones y métodos de prueba</t>
    </r>
  </si>
  <si>
    <r>
      <rPr>
        <b/>
        <sz val="11"/>
        <color theme="1"/>
        <rFont val="Soberana Sans Light"/>
        <family val="3"/>
      </rPr>
      <t xml:space="preserve">NOM-001-STPS-2008
</t>
    </r>
    <r>
      <rPr>
        <sz val="11"/>
        <color theme="1"/>
        <rFont val="Soberana Sans Light"/>
        <family val="3"/>
      </rPr>
      <t>Edificios, locales, instalaciones y áreas en los centros de trabajo-condiciones de seguridad.</t>
    </r>
  </si>
  <si>
    <r>
      <rPr>
        <b/>
        <sz val="11"/>
        <color theme="1"/>
        <rFont val="Soberana Sans Light"/>
        <family val="3"/>
      </rPr>
      <t xml:space="preserve">NOM-006-STPS-2000 
</t>
    </r>
    <r>
      <rPr>
        <sz val="11"/>
        <color theme="1"/>
        <rFont val="Soberana Sans Light"/>
        <family val="3"/>
      </rPr>
      <t>Manejo y almacenamiento de materiales- condiciones y procedimientos de seguridad.</t>
    </r>
  </si>
  <si>
    <r>
      <rPr>
        <b/>
        <sz val="11"/>
        <color theme="1"/>
        <rFont val="Soberana Sans Light"/>
        <family val="3"/>
      </rPr>
      <t xml:space="preserve">NOM-017-STPS-2008
</t>
    </r>
    <r>
      <rPr>
        <sz val="11"/>
        <color theme="1"/>
        <rFont val="Soberana Sans Light"/>
        <family val="3"/>
      </rPr>
      <t>Equipo de protección personal-Selección, uso y manejo en los centros de trabajo.</t>
    </r>
  </si>
  <si>
    <r>
      <rPr>
        <b/>
        <sz val="11"/>
        <color theme="1"/>
        <rFont val="Soberana Sans Light"/>
        <family val="3"/>
      </rPr>
      <t xml:space="preserve">NOM-019-STPS-2011
</t>
    </r>
    <r>
      <rPr>
        <sz val="11"/>
        <color theme="1"/>
        <rFont val="Soberana Sans Light"/>
        <family val="3"/>
      </rPr>
      <t>Constitución, integración, organización y funcionamiento de las comisiones de seguridad e higiene.</t>
    </r>
  </si>
  <si>
    <r>
      <rPr>
        <b/>
        <sz val="11"/>
        <color theme="1"/>
        <rFont val="Soberana Sans Light"/>
        <family val="3"/>
      </rPr>
      <t xml:space="preserve">NOM-020-STPS-2011
</t>
    </r>
    <r>
      <rPr>
        <sz val="11"/>
        <color theme="1"/>
        <rFont val="Soberana Sans Light"/>
        <family val="3"/>
      </rPr>
      <t>Recipientes sujetos a presión, recipientes criogénicos y generadores de vapor o calderas - Funcionamiento - Condiciones de Seguridad.</t>
    </r>
  </si>
  <si>
    <r>
      <rPr>
        <b/>
        <sz val="11"/>
        <color theme="1"/>
        <rFont val="Soberana Sans Light"/>
        <family val="3"/>
      </rPr>
      <t xml:space="preserve">NOM 021 STPS1994
</t>
    </r>
    <r>
      <rPr>
        <sz val="11"/>
        <color theme="1"/>
        <rFont val="Soberana Sans Light"/>
        <family val="3"/>
      </rPr>
      <t>Relativa a los requerimientos y características de los informes de los riesgos de trabajo que ocurran, para integrar las estadísticas.</t>
    </r>
  </si>
  <si>
    <r>
      <rPr>
        <b/>
        <sz val="11"/>
        <color theme="1"/>
        <rFont val="Soberana Sans Light"/>
        <family val="3"/>
      </rPr>
      <t xml:space="preserve">NOM-022-STPS-2008
</t>
    </r>
    <r>
      <rPr>
        <sz val="11"/>
        <color theme="1"/>
        <rFont val="Soberana Sans Light"/>
        <family val="3"/>
      </rPr>
      <t>Electricidad estática en los centros de trabajo. Condiciones de seguridad e higiene.</t>
    </r>
  </si>
  <si>
    <r>
      <rPr>
        <b/>
        <sz val="11"/>
        <color theme="1"/>
        <rFont val="Soberana Sans Light"/>
        <family val="3"/>
      </rPr>
      <t xml:space="preserve">NOM-026-STPS-2008
</t>
    </r>
    <r>
      <rPr>
        <sz val="11"/>
        <color theme="1"/>
        <rFont val="Soberana Sans Light"/>
        <family val="3"/>
      </rPr>
      <t>Colores y señales de seguridad e higiene, e identificación de riesgos por fluidos conducidos en tuberías</t>
    </r>
  </si>
  <si>
    <r>
      <rPr>
        <b/>
        <sz val="11"/>
        <color theme="1"/>
        <rFont val="Soberana Sans Light"/>
        <family val="3"/>
      </rPr>
      <t>NOM-029-STPS-2011</t>
    </r>
    <r>
      <rPr>
        <sz val="11"/>
        <color theme="1"/>
        <rFont val="Soberana Sans Light"/>
        <family val="3"/>
      </rPr>
      <t xml:space="preserve">
Mantenimiento de las instalaciones eléctricas en los centros de trabajo-Condiciones de seguridad.</t>
    </r>
  </si>
  <si>
    <r>
      <rPr>
        <b/>
        <sz val="11"/>
        <color theme="1"/>
        <rFont val="Soberana Sans Light"/>
        <family val="3"/>
      </rPr>
      <t xml:space="preserve">NOM 030 STPS 2009
</t>
    </r>
    <r>
      <rPr>
        <sz val="11"/>
        <color theme="1"/>
        <rFont val="Soberana Sans Light"/>
        <family val="3"/>
      </rPr>
      <t>Servicios preventivos de seguridad y salud en el trabajo. Funciones y actividades.</t>
    </r>
  </si>
  <si>
    <r>
      <rPr>
        <b/>
        <sz val="11"/>
        <color theme="1"/>
        <rFont val="Soberana Sans Light"/>
        <family val="3"/>
      </rPr>
      <t xml:space="preserve">NOM-072-SSA1-2012
</t>
    </r>
    <r>
      <rPr>
        <sz val="11"/>
        <color theme="1"/>
        <rFont val="Soberana Sans Light"/>
        <family val="3"/>
      </rPr>
      <t>Etiquetado de medicamentos y de remedios herbolarios</t>
    </r>
  </si>
  <si>
    <r>
      <rPr>
        <b/>
        <sz val="11"/>
        <color theme="1"/>
        <rFont val="Soberana Sans Light"/>
        <family val="3"/>
      </rPr>
      <t xml:space="preserve">NOM-068-SSA1-1993
</t>
    </r>
    <r>
      <rPr>
        <sz val="11"/>
        <color theme="1"/>
        <rFont val="Soberana Sans Light"/>
        <family val="3"/>
      </rPr>
      <t>Que establece las especificaciones sanitarias de los instrumentos quirúrgicos, materiales metálicos de acero inoxidable.</t>
    </r>
  </si>
  <si>
    <r>
      <rPr>
        <b/>
        <sz val="11"/>
        <color theme="1"/>
        <rFont val="Soberana Sans Light"/>
        <family val="3"/>
      </rPr>
      <t xml:space="preserve">PROY-NOM-201-SSA1-2013
</t>
    </r>
    <r>
      <rPr>
        <sz val="11"/>
        <color theme="1"/>
        <rFont val="Soberana Sans Light"/>
        <family val="3"/>
      </rPr>
      <t>Productos y servicios. Agua y hielo para consumo humano, envasados y a granel. Especificaciones sanitarias</t>
    </r>
  </si>
  <si>
    <r>
      <rPr>
        <b/>
        <sz val="11"/>
        <color theme="1"/>
        <rFont val="Soberana Sans Light"/>
        <family val="3"/>
      </rPr>
      <t xml:space="preserve">NOM-218-SSA1-2011
</t>
    </r>
    <r>
      <rPr>
        <sz val="11"/>
        <color theme="1"/>
        <rFont val="Soberana Sans Light"/>
        <family val="3"/>
      </rPr>
      <t>Productos y servicios. Bebidas saborizadas no alcohólicas, sus congelados, productos concentrados para prepararlas y bebidas adicionadas con cafeína. Especificaciones y disposiciones sanitarias. Métodos de prueba.</t>
    </r>
  </si>
  <si>
    <r>
      <rPr>
        <b/>
        <sz val="11"/>
        <color theme="1"/>
        <rFont val="Soberana Sans Light"/>
        <family val="3"/>
      </rPr>
      <t xml:space="preserve">NOM-013-STPS-1993
</t>
    </r>
    <r>
      <rPr>
        <sz val="11"/>
        <color theme="1"/>
        <rFont val="Soberana Sans Light"/>
        <family val="3"/>
      </rPr>
      <t>Relativa a las condiciones de seguridad e higiene en los centros de trabajo donde se generen radiaciones electromagnéticas no ionizantes</t>
    </r>
  </si>
  <si>
    <r>
      <rPr>
        <b/>
        <sz val="11"/>
        <color theme="1"/>
        <rFont val="Soberana Sans Light"/>
        <family val="3"/>
      </rPr>
      <t xml:space="preserve">NOM-022-STPS-2008
</t>
    </r>
    <r>
      <rPr>
        <sz val="11"/>
        <color theme="1"/>
        <rFont val="Soberana Sans Light"/>
        <family val="3"/>
      </rPr>
      <t>Electricidad estática, en los centros de trabajo.-Condiciones de seguridad.</t>
    </r>
  </si>
  <si>
    <r>
      <rPr>
        <b/>
        <sz val="11"/>
        <color theme="1"/>
        <rFont val="Soberana Sans Light"/>
        <family val="3"/>
      </rPr>
      <t xml:space="preserve">NOM-002-STPS-2010
</t>
    </r>
    <r>
      <rPr>
        <sz val="11"/>
        <color theme="1"/>
        <rFont val="Soberana Sans Light"/>
        <family val="3"/>
      </rPr>
      <t>Condiciones de seguridad-Prevención y protección contra incendios en los centros de trabajo</t>
    </r>
  </si>
  <si>
    <r>
      <rPr>
        <b/>
        <sz val="11"/>
        <color theme="1"/>
        <rFont val="Soberana Sans Light"/>
        <family val="3"/>
      </rPr>
      <t xml:space="preserve">NOM-100-STPS-1994
</t>
    </r>
    <r>
      <rPr>
        <sz val="11"/>
        <color theme="1"/>
        <rFont val="Soberana Sans Light"/>
        <family val="3"/>
      </rPr>
      <t>Seguridad.-Extintores contra incendio a base de polvo químico seco con presión contenida Especificaciones.</t>
    </r>
  </si>
  <si>
    <r>
      <rPr>
        <b/>
        <sz val="11"/>
        <color theme="1"/>
        <rFont val="Soberana Sans Light"/>
        <family val="3"/>
      </rPr>
      <t xml:space="preserve">NOM-101-STPS-1994
</t>
    </r>
    <r>
      <rPr>
        <sz val="11"/>
        <color theme="1"/>
        <rFont val="Soberana Sans Light"/>
        <family val="3"/>
      </rPr>
      <t>Seguridad.-Extintores a base de espuma química</t>
    </r>
  </si>
  <si>
    <r>
      <rPr>
        <b/>
        <sz val="11"/>
        <color theme="1"/>
        <rFont val="Soberana Sans Light"/>
        <family val="3"/>
      </rPr>
      <t xml:space="preserve">NOM-102-STPS-1994
</t>
    </r>
    <r>
      <rPr>
        <sz val="11"/>
        <color theme="1"/>
        <rFont val="Soberana Sans Light"/>
        <family val="3"/>
      </rPr>
      <t>Seguridad- Extintores contra incendio a base de bióxido de carbono.-Parte 1 Recipientes.</t>
    </r>
  </si>
  <si>
    <r>
      <t xml:space="preserve">NOM-104-STPS-2001
</t>
    </r>
    <r>
      <rPr>
        <sz val="11"/>
        <color theme="1"/>
        <rFont val="Soberana Sans Light"/>
        <family val="3"/>
      </rPr>
      <t>Agentes extinguidores-Polvo químico seco tipo ABC a base de Fosfato Mono Amónico.</t>
    </r>
  </si>
  <si>
    <r>
      <t xml:space="preserve">NOM-106-STPS-1994
</t>
    </r>
    <r>
      <rPr>
        <sz val="11"/>
        <color theme="1"/>
        <rFont val="Soberana Sans Light"/>
        <family val="3"/>
      </rPr>
      <t>Seguridad-Agentes extinguidores-Polvo químico Tipo BC A Base de Bicarbonato de sodio</t>
    </r>
  </si>
  <si>
    <r>
      <t xml:space="preserve">NOM-087-SEMARNAT-SSA1-2002
</t>
    </r>
    <r>
      <rPr>
        <sz val="11"/>
        <color theme="1"/>
        <rFont val="Soberana Sans Light"/>
        <family val="3"/>
      </rPr>
      <t>Protección ambiental –Salud ambiental- Residuos peligrosos biológico-infecciosos- Clasificación y especificaciones de manejo.</t>
    </r>
  </si>
  <si>
    <t>OTRAS NOM´s APLICABLES AL SUBSECTOR</t>
  </si>
  <si>
    <r>
      <rPr>
        <b/>
        <sz val="11"/>
        <color theme="1"/>
        <rFont val="Soberana Sans Light"/>
        <family val="3"/>
      </rPr>
      <t xml:space="preserve">NOM-015-SSA3-2012
</t>
    </r>
    <r>
      <rPr>
        <sz val="11"/>
        <color theme="1"/>
        <rFont val="Soberana Sans Light"/>
        <family val="3"/>
      </rPr>
      <t>Para la atención integral a personas con discapacidad.</t>
    </r>
  </si>
  <si>
    <r>
      <rPr>
        <b/>
        <sz val="11"/>
        <color theme="1"/>
        <rFont val="Soberana Sans Light"/>
        <family val="3"/>
      </rPr>
      <t xml:space="preserve">NOM-110-SCFI-2004
</t>
    </r>
    <r>
      <rPr>
        <sz val="11"/>
        <color theme="1"/>
        <rFont val="Soberana Sans Light"/>
        <family val="3"/>
      </rPr>
      <t>Prácticas comerciales-Requisitos de información en la prestación de servicios para el embellecimiento físico.</t>
    </r>
  </si>
  <si>
    <r>
      <rPr>
        <b/>
        <sz val="11"/>
        <color theme="1"/>
        <rFont val="Soberana Sans Light"/>
        <family val="3"/>
      </rPr>
      <t xml:space="preserve">NOM-174-SCFI-2007
</t>
    </r>
    <r>
      <rPr>
        <sz val="11"/>
        <color theme="1"/>
        <rFont val="Soberana Sans Light"/>
        <family val="3"/>
      </rPr>
      <t>Prácticas comerciales-elementos de información para la prestación de servicios en general.</t>
    </r>
  </si>
  <si>
    <r>
      <rPr>
        <b/>
        <sz val="11"/>
        <color theme="1"/>
        <rFont val="Soberana Sans Light"/>
        <family val="3"/>
      </rPr>
      <t xml:space="preserve">NOM-028-SCFI-2007
</t>
    </r>
    <r>
      <rPr>
        <sz val="11"/>
        <color theme="1"/>
        <rFont val="Soberana Sans Light"/>
        <family val="3"/>
      </rPr>
      <t>Prácticas comerciales-Elementos de información en las promociones coleccionables y/o promociones por medio de sorteos y concursos.</t>
    </r>
  </si>
  <si>
    <r>
      <rPr>
        <b/>
        <sz val="11"/>
        <color theme="1"/>
        <rFont val="Soberana Sans Light"/>
        <family val="3"/>
      </rPr>
      <t xml:space="preserve">NOM-010-TUR-2001
</t>
    </r>
    <r>
      <rPr>
        <sz val="11"/>
        <color theme="1"/>
        <rFont val="Soberana Sans Light"/>
        <family val="3"/>
      </rPr>
      <t>De los requisitos que deben contener los contratos que celebren los prestadores de servicios turísticos con los usuarios-turistas</t>
    </r>
  </si>
  <si>
    <r>
      <rPr>
        <b/>
        <sz val="11"/>
        <color theme="1"/>
        <rFont val="Soberana Sans Light"/>
        <family val="3"/>
      </rPr>
      <t xml:space="preserve">NOM-07-TUR.2002 
</t>
    </r>
    <r>
      <rPr>
        <sz val="11"/>
        <color theme="1"/>
        <rFont val="Soberana Sans Light"/>
        <family val="3"/>
      </rPr>
      <t>De los elementos normativos del seguro de responsabilidad civil que deben contratar los prestadores de servicios turísticos de hospedaje para la protección y seguridad de los turistas o usuarios</t>
    </r>
  </si>
  <si>
    <t>MARCO LEGAL Y NORMATIVO</t>
  </si>
  <si>
    <r>
      <t xml:space="preserve">NOM-001-SSA2-1993
</t>
    </r>
    <r>
      <rPr>
        <sz val="11"/>
        <color theme="1"/>
        <rFont val="Soberana Sans Light"/>
        <family val="3"/>
      </rPr>
      <t>Que establece los requisitos arquitectónicos para facilitar el acceso, tránsito y permanencia de los discapacitados a los establecimientos de atención médica del Sistema Nacional de Salud.</t>
    </r>
  </si>
  <si>
    <t xml:space="preserve">Certificado Management Spa
Distintivo 
Moderniza I Moderniza II
NMX-CC-9001-IMNC-2008  
NMX-CC-9004-IMNC-2009
NMX-R-025-SCFI-2012
NMX-SAST-26000-IMNC-2011
Certificado RSE
NMX-SAST-
</t>
  </si>
  <si>
    <t xml:space="preserve">Distintivo Moderniza I
Distintivo Moderniza II
Sello de Calidad “Punto Limpio”.
Distintivo HT
Certificado RSE
Distintivo “S”
NOM-07-TUR.2002
NMX-CC-9001-IMNC-2008
NMX-CC-9004-IMNC-2009
NMX-SAST-26000-IMNC-2011.
NMX-CC-10001-INMC-2012
NMX-R-050-SCFI-2006
NMX-CC-10002-INMC-2005
NMX-CC-10003-INMC-2012
NMX CC 10002 IMNC 2004
NOM-07-TUR.2002
NOM-005-SCT4-2006
NOM-006-SCT4-2006
PROY-NOM-201-SSA1-2013
NOM-015-SSA3-2012
NOM-127-SSA1-1994
NOM-245-SSA1-2010
Ley Federal de Protección al Consumidor
Ley General para la Igualdad entre Mujeres y Hombres
Ley Federal para Prevenir y Eliminar la Discriminación
Ley General para Prevenir, Sancionar y Erradicar los Delitos en Materia de Trata de Personas y para la Protección y Asistencia a Víctimas de estos Delitos
</t>
  </si>
  <si>
    <t xml:space="preserve">NMX-CC-9001
NMX-CC-9004-IMNC-2009
Distintivo Moderniza I
Distintivo Moderniza II
Certificado RSE
Distintivo S
NMX-SAST-26000-IMNC-2011
Ley Federal de Protección de datos personales 
Ley Federal de Protección al Consumidor
NOM-010-TUR-2001
NOM-029-SCFI-2010
NOM-174-SCFI-2007
NOM-028-SCFI-2007
NOM-010-TUR-2001
</t>
  </si>
  <si>
    <t xml:space="preserve">Certificado Management Spa
Distintivo 
Moderniza I 
Distintivo
Moderniza II
Certificado RSE
NMX-CC-9001-IMNC-2008  
NMX-CC-9004-IMNC-2009
NMX-R-025-SCFI-2012
NMX-SAST-26000-IMNC-2011
NMX-SAST-
NMX-CC-9004-IMNC-2009
</t>
  </si>
  <si>
    <t>Es requisito indispensable contar con el marco normativo y legal del subsector de Spa para integrarse al Sistema Nacional de Certificación Turística.</t>
  </si>
  <si>
    <t>Establece consecuencias meritorias en caso de realizar este tipo de comportamientos por parte del trabajador, proveedor u otro.</t>
  </si>
  <si>
    <t>Establece la política de evitar trato comercial con proveedores que tengan prácticas inadmisibles como trabajo forzado, trabajo a menores de edad o similares.</t>
  </si>
  <si>
    <t>Tiene establecida estrategia  para atención de emergencias médicas o por sismo/incendio con los clientes.</t>
  </si>
  <si>
    <t xml:space="preserve">Cuenta con acceso a servicios médicos y de emergencia.                                      </t>
  </si>
  <si>
    <t>Aplica un sistema documentado de seguimiento y resolución de quejas o reclamos.</t>
  </si>
  <si>
    <t>Acciones de prevención, y mitigación del impacto ambiental generado por  la construcción, operación y mantenimiento, así como para la protección de la biodiversidad y restauración de hábitats</t>
  </si>
  <si>
    <t>Revisión de prácticas de Responsabilidad Social Empresarial (RSE)</t>
  </si>
  <si>
    <t>Promueve comportamientos de equidad de género en la organización.</t>
  </si>
  <si>
    <t>Proporciona a los trabajadores el equipo de seguridad, en forma gratuita.</t>
  </si>
  <si>
    <t>Cuenta con Plan y/o Programa de Capacitación vigente; que integra temas de desarrollo personal y actualización técnica.</t>
  </si>
  <si>
    <t>Establece política de selección de proveedores basada en criterios de precio, calidad, tiempo de entrega, condiciones de entrega y confianza.</t>
  </si>
  <si>
    <t>Aplica estrategias para incentivar la mejora de la calidad de productos, servicios y procesos administrativos.</t>
  </si>
  <si>
    <t>Aplica y verifica la aplicación de procedimientos o protocolos en la atención y prestación de los servicios que ofrece.</t>
  </si>
  <si>
    <t xml:space="preserve">Cuenta con un menú de servicios (especificando tiempo y descripció) con lista de precios publicados y a la vista </t>
  </si>
  <si>
    <t>Cuenta con contrato, ficha de registro o clausulado aplicable al cliente, evitando cláusulas abusivas, impuestas, desequitativas o desproporcionadas.</t>
  </si>
  <si>
    <t>Establece expresamente la política de protección de datos e información.</t>
  </si>
  <si>
    <t>Realiza comparativo de precios de la plaza.</t>
  </si>
  <si>
    <t>Aplica acciones que  promuevan el reciclado de insumos o productos donde puedan participar los trabajadores, como realizar campañas de recolección (pet, pilas, vidrio, papel, etc.).</t>
  </si>
  <si>
    <t>Utiliza en su proceso de trabajo material biodegradable o amigable con el medio ambiente; asimismo, prioriza la adquisición de productos orgánicos y reciclables o con un sello, eco etiqueta o certificación nacional o internacional.</t>
  </si>
  <si>
    <t>Utiliza sistemas o equipos para el ahorro de energía eléctrica. Utiliza alguno de los siguientes tipos de dispositivos: apagado automático, interruptores de presencia, desactivado de circuitos, sensores, foto celdas, u otros.</t>
  </si>
  <si>
    <t>Cuenta con un Programa de mantenimiento preventivo sobre infraestructura, instalaciones, equipo, herramientas, tuberías y conductores.</t>
  </si>
  <si>
    <t>Apoya en campañas de acción social, organizaciones sociales, fundaciones u otras instituciones.</t>
  </si>
  <si>
    <t>Cuenta con un área de recepción</t>
  </si>
  <si>
    <t>Cuenta con un área de vestidores</t>
  </si>
  <si>
    <t>Cuenta con un área de cabinas</t>
  </si>
  <si>
    <t>Cuenta con un área húmeda</t>
  </si>
  <si>
    <t>Cuenta con un área de relajación</t>
  </si>
  <si>
    <t>9.1.1</t>
  </si>
  <si>
    <t>9.2.1</t>
  </si>
  <si>
    <t>11.1.2</t>
  </si>
  <si>
    <t>12.3.1</t>
  </si>
  <si>
    <t xml:space="preserve">Cuenta con letreros visibles de indicaciones y sugerencias en las diferentes áreas de acuerdo a la normatividad legal vigente </t>
  </si>
  <si>
    <t>Cuenta con señalización en los idiomas español e inglés.</t>
  </si>
  <si>
    <t>El área de vestidores cuenta con la señalización mínima necesaria que indique mantener cerrado su casillero; no olvidar sus pertenencias; uso obligatorio de sandalias y bata y sin celular o en modo vibratorio)</t>
  </si>
  <si>
    <t>Señala las áreas de hombres y mujeres.</t>
  </si>
  <si>
    <t>El área de cabinas señala nombre; número o pictograma.</t>
  </si>
  <si>
    <t>El área de regaderas indica el uso consciente y cuidado agua.</t>
  </si>
  <si>
    <t>En las áreas húmedas manejan indicaciones de seguridad (no utilizar accesorios metálicos; ducharse antes de entrar; sentarse o recostarse sobre una toalla; no permanecer más de 15 minutos; rehidratarse durante y después de su sesión; en caso de sentir algún malestar salir inmediatamente y comunícarlo al personal, no colocar objetos sobre la unidad térmica; prohibido entrar si ha ingerido alimentos en las últimas dos horas, padece alguna enfermedad, embarazo o en ciclo menstrual; si está bajo el influjo de alcohol o alguna droga).</t>
  </si>
  <si>
    <t>Instalaciones (condiciones físicas) para la prestación del servicio</t>
  </si>
  <si>
    <t>Mobiliario y equipo adecuados para la prestación del servicio</t>
  </si>
  <si>
    <t>Señalización</t>
  </si>
  <si>
    <t>Cuenta con instalaciones higiénicas</t>
  </si>
  <si>
    <t>El área de recepción incluye: mostrador o escritorio; equipo de cómputo o libro de registro y citas; caja o cajas de seguridad; y exhibidor de productos para venta (opcional).</t>
  </si>
  <si>
    <t>El área de vestidores incluye: casilleros individuales y seguros; bancas; lavamanos; tocadores; espejos; secadora de cabello (opcional); despachador de toallas de papel o secador de aire o toallero; sanitarios; depósitos de basura; depósito de blancos limpios y sucios; productos básicos de cortesía como jabón y shampoo; piso antiderrapante, tapetes antiderrapantes o algún producto antiderrapante; ventilación e iluminación adecuada.</t>
  </si>
  <si>
    <t>El área de cabinas incluye: lavamanos; (opcional); piso antiderrapante, tapete antiderrapante o uso de algún producto antiderrapante; paredes lisas o uso de productos que facilite su limpieza; iluminación indirecta o con regulador de intensidad; ventilación adecuada; instalación eléctrica con tierra física; equipo electroestético no invasivo (opcional); sistema de audio; temperatura ambiental adecuada (en caso de requerirlo se debe contar con clima artificial); mesa de masaje con superficie que facilite su limpieza y desinfección; banco giratorio; y mesa auxiliar rodante.</t>
  </si>
  <si>
    <t>El área húmeda, incluye: regadera con agarradera; sauna con unidad térmica eléctrica con reja protectora de madera, termómetro y reloj de arena, vapor con sistema de iluminación impermeable o temascal con unidad térmica eléctrica con reja protectora de madera; tina de hidromasaje; cabina húmeda; regadera Vichy, escocesa, afusiones o circuito hidrotermal. (Estas áreas deben ser antiderrapantes con agarraderas de seguridad y mandos no lisos en las zonas necesarias y, en caso de uso de cristal debe ser templado, iluminación, ventilación adecuada y superficies de fácil limpieza y desinfección)</t>
  </si>
  <si>
    <t>El área de relajación incluye mobiliario cómodo; despachador de agua purificada; ventilación e iluminación adecuada.</t>
  </si>
  <si>
    <t>Tiene establecidos y promueve la aplicación de Misión, Visión y Valores, asociados a la calidad, sustentabilidad y responsabilidad social, aprobados por la Dirección.</t>
  </si>
  <si>
    <t>Cuenta con una estructura de Dirección formal que se encuentra en operación.</t>
  </si>
  <si>
    <t>Cuenta con políticas, normas o lineamientos de operación que incluyen enfoque a la calidad, sustentabilidad y responsabilidad social en su estructura de Dirección.</t>
  </si>
  <si>
    <t>Establece acuerdos para determinar fecha, horarios y lugares para la realización de reuniones de los trabajadores, con la finalidad de atender asuntos propios del establecimiento.</t>
  </si>
  <si>
    <t>Cuenta con contratos del personal (Por Tiempo determinado o abierto; Por Obra determinada; Recibo por servicios profesionales; Contrato colectivo o Out sourcing/subcontratación).</t>
  </si>
  <si>
    <t>Tiene establecido tabulador para pago de salario, tiempo extra y/o comisión.</t>
  </si>
  <si>
    <t>Promueve la certificación de la competencia laboral del personal ante organismos acreditados.</t>
  </si>
  <si>
    <t>Aplica la política de evitar trato comercial con proveedores que tengan prácticas alejadas de la responsabilidad social.</t>
  </si>
  <si>
    <t>Establece estrategias para incentivar la mejora en la calidad de los producto/servicios de sus proveedores que signifique en ambos mejoras en los procesos y los resultados.</t>
  </si>
  <si>
    <t>Establece acciones para asegurar que los clientes conozcan y apliquen lineamientos de uso de las instalaciones y servicios que ofrece, señalización u otra información importante en materia de seguridad.</t>
  </si>
  <si>
    <t>Informa al cliente los lineamientos de uso de las instalaciones y servicios que ofrece, señalización u otra información importante en materia de seguridad.</t>
  </si>
  <si>
    <t>Establece acciones para asegurar la salud y seguridad del cliente durante su estancia en el establecimiento.</t>
  </si>
  <si>
    <t>Aplica un programa de control de plagas en el establecimiento.</t>
  </si>
  <si>
    <t>Aplica un programa de seguridad, calidad e higiene en el servicio y productos que ofrece.</t>
  </si>
  <si>
    <t>Cuenta con capacitación en primeros auxilios.</t>
  </si>
  <si>
    <t>Establece y aplica procedimientos/protocolos para estandarizar la calidad en la atención y prestación de los servicios y productos que ofrece al cliente.</t>
  </si>
  <si>
    <t>Establece y aplica un sistema de evaluación de la satisfacción del cliente. Utiliza la información para retroalimentar y realizar acciones  para mejorar el servicio que ofrece y fidelizar al cliente.</t>
  </si>
  <si>
    <t>Primeros auxilios.</t>
  </si>
  <si>
    <t>Establece y aplica algún sistema para la atención de quejas, reclamos y sugerencias que pudiera presentar el cliente.</t>
  </si>
  <si>
    <t>Promueve medidas para ofrecer precios competitivos de acuerdo con la oferta y la demanda en el mercado.</t>
  </si>
  <si>
    <t xml:space="preserve">Prioriza la contratación de personas de la localidad o comunidades aledañas. </t>
  </si>
  <si>
    <t>Documentado y publicado</t>
  </si>
  <si>
    <t xml:space="preserve">Tiene establecido y en operación su Código de ética para el establecimiento y de Conducta para los trabajadores, donde se establecen comportamientos esperados asociado a la calidad, sustentabilidad y responsabilidad social. </t>
  </si>
  <si>
    <t>El personal cuenta con capacitación en primeros auxilios por un organismo acreditado</t>
  </si>
  <si>
    <t>SEGURIDAD E HIGIENE EN INSTALACIONES</t>
  </si>
  <si>
    <t>Distintivo SPA (Asociación Latinoamericana de Spa)</t>
  </si>
  <si>
    <t>Prestador de servicios turísticos</t>
  </si>
  <si>
    <t>Factores evaluados</t>
  </si>
  <si>
    <t>Puntaje máximo a alcanzar</t>
  </si>
  <si>
    <t>Puntaje obtenido</t>
  </si>
  <si>
    <t>% equivalente al puntaje obtenido</t>
  </si>
  <si>
    <t>Gobernanza de la organización</t>
  </si>
  <si>
    <t xml:space="preserve">Derechos humanos </t>
  </si>
  <si>
    <t>PORCENTAJE MÍNIMO DE CADA UNO DE LOS FACTORES DE LA GUÍA DE EVALUACIÓN DEL SUBSECTOR SPA</t>
  </si>
  <si>
    <t>Seguridad e higiene en instalaciones</t>
  </si>
  <si>
    <t>PORCENTAJE MÍNIMO DE CADA UNO DE LOS FACTORES DE LA GUÍA DE EVALUACIÓN DEL SUBSECTOR HOSPEDAJE</t>
  </si>
  <si>
    <t>Autoridad y legalidad</t>
  </si>
  <si>
    <r>
      <t>Cuenta con Código de ética y de conducta vigente para la organización y</t>
    </r>
    <r>
      <rPr>
        <b/>
        <sz val="9"/>
        <rFont val="Soberana Sans Light"/>
        <family val="3"/>
      </rPr>
      <t xml:space="preserve"> </t>
    </r>
    <r>
      <rPr>
        <sz val="9"/>
        <rFont val="Soberana Sans Light"/>
        <family val="3"/>
      </rPr>
      <t>promueve su aplicación.</t>
    </r>
  </si>
  <si>
    <t>Cuenta con Manual de Políticas/ Código de ética o similar en la organización, donde se hace referencia al respecto a los derechos humanos de los trabajadores</t>
  </si>
  <si>
    <r>
      <t>Aplica mecanismos para identificar violaciones a los derechos humanos de los trabajadores en la organización (hacia los trabajadores y entre los trabajadores) y aplica medidas correctivas</t>
    </r>
    <r>
      <rPr>
        <b/>
        <sz val="9"/>
        <rFont val="Soberana Sans Light"/>
        <family val="3"/>
      </rPr>
      <t>.</t>
    </r>
  </si>
  <si>
    <t>Aplica métodos de venta honestos y responsables, evitando la coerción, el engaño, la deslealtad o prácticas abusivas o impuestas en la prestación del servicio en perjuicio del cliente.</t>
  </si>
  <si>
    <t>Presenta a sus consumidores una “hoja clínica o de consentimiento informado” (Contrato) donde se asientan los datos generales del cliente, los servicios que se prestan y las condiciones, como parte del procedimiento de prestación de servicios</t>
  </si>
  <si>
    <t>Tiene establecido al menos un mecanismo para la protección de la privacidad  y los datos de carácter personal de los clientes.</t>
  </si>
  <si>
    <t>TABLA DE PUNTUACIÓN</t>
  </si>
  <si>
    <t>Factores</t>
  </si>
  <si>
    <t>Peso Porcentual</t>
  </si>
  <si>
    <t>Puntos asignados</t>
  </si>
  <si>
    <t>Derechos humanos de los trabajadores</t>
  </si>
  <si>
    <t>Suma</t>
  </si>
  <si>
    <t>NIVELES DE CALIDAD POR PUNTUACIÓN</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</si>
  <si>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</si>
  <si>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</si>
  <si>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</si>
  <si>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</si>
  <si>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</si>
  <si>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</si>
  <si>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</si>
  <si>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</si>
  <si>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</si>
  <si>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</si>
  <si>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</si>
  <si>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</si>
  <si>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</si>
  <si>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</si>
  <si>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</si>
  <si>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20%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</si>
  <si>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30%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</si>
  <si>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40%</t>
    </r>
    <r>
      <rPr>
        <sz val="12"/>
        <color theme="1"/>
        <rFont val="Arial"/>
        <family val="2"/>
      </rPr>
      <t xml:space="preserve"> de cumplimiento en cada uno de los factores.</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</si>
  <si>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50%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</si>
  <si>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60%</t>
    </r>
    <r>
      <rPr>
        <sz val="12"/>
        <color theme="1"/>
        <rFont val="Arial"/>
        <family val="2"/>
      </rPr>
      <t xml:space="preserve"> de cumplimiento en cada uno de los factores.</t>
    </r>
  </si>
  <si>
    <t>El área de recepción cuenta con el mobiliario y equipo adecuados para la prestación del servicio</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</si>
  <si>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</si>
  <si>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</si>
  <si>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</si>
  <si>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</si>
  <si>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</si>
  <si>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</si>
  <si>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</si>
  <si>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</si>
  <si>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</si>
  <si>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</si>
  <si>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IM</t>
  </si>
  <si>
    <t>Implementado no documentado</t>
  </si>
  <si>
    <t>Documentado e implementado</t>
  </si>
  <si>
    <t>Medición de resultados</t>
  </si>
  <si>
    <t xml:space="preserve">SOLICITUD DE ADHESIÓN DEL SNCT
PRESTADORES DE SERVICIOS TURÍSTICOS
(PERSONA MORAL O PERSONA FÍSICA CON ACTIVIDAD EMPRESARIAL)
 </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</si>
  <si>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</si>
  <si>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</si>
  <si>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</si>
  <si>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</si>
  <si>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</si>
  <si>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</si>
  <si>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</si>
  <si>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</si>
  <si>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Nombre Comercial</t>
  </si>
  <si>
    <t>Razón Social</t>
  </si>
  <si>
    <t>Subsector</t>
  </si>
  <si>
    <t>Giro</t>
  </si>
  <si>
    <t>Página web</t>
  </si>
  <si>
    <t>Facebook</t>
  </si>
  <si>
    <t>Teléfono</t>
  </si>
  <si>
    <t>Tamaño de la empresa</t>
  </si>
  <si>
    <t>Micro</t>
  </si>
  <si>
    <t>Pequeña</t>
  </si>
  <si>
    <t>Mediana</t>
  </si>
  <si>
    <t>Grande</t>
  </si>
  <si>
    <t>Número de trabajadores</t>
  </si>
  <si>
    <t>Mujeres</t>
  </si>
  <si>
    <t>Hombres</t>
  </si>
  <si>
    <t xml:space="preserve">Personas con discapacidad </t>
  </si>
  <si>
    <t>Dirección</t>
  </si>
  <si>
    <t>Calle, número exterior y número interior</t>
  </si>
  <si>
    <t>Entre las calles</t>
  </si>
  <si>
    <t>Colonia</t>
  </si>
  <si>
    <t>Delegación/ Municipio</t>
  </si>
  <si>
    <t>Código Postal</t>
  </si>
  <si>
    <t>Entidad federativa</t>
  </si>
  <si>
    <t>DATOS DEL PROPIETARIO Y/O REPRESENTANTE LEGAL</t>
  </si>
  <si>
    <t>Nombre (s), apellido paterno, apellido materno</t>
  </si>
  <si>
    <t>Cargo</t>
  </si>
  <si>
    <t>CURP</t>
  </si>
  <si>
    <t>Celular</t>
  </si>
  <si>
    <t>Correo electrónico</t>
  </si>
  <si>
    <t>EL PRESTADOR DE SERVICIOS TURÍSTICOS:</t>
  </si>
  <si>
    <t>N/A</t>
  </si>
  <si>
    <t>Cuenta con alta en la Secretaría de Hacienda y Crédito Público</t>
  </si>
  <si>
    <t>Cuenta con inscripción del registro empresarial ante el IMSS</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</si>
  <si>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</si>
  <si>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</si>
  <si>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Cuenta con su Constancia de Clasificación Hotelera (indique su número de Constancia en observaciones) **</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</si>
  <si>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</si>
  <si>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</si>
  <si>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</si>
  <si>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</si>
  <si>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</si>
  <si>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</si>
  <si>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 xml:space="preserve">NOMBRE COMPLETO Y FIRMA DEL PROPIETARIO Y/O REPRESENTANTE LEGAL </t>
  </si>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</sst>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70" x14ac:knownFonts="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b/>
      <sz val="20"/>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0"/>
      <color theme="0"/>
      <name val="Soberana Sans Light"/>
      <family val="3"/>
    </font>
    <font>
      <sz val="10"/>
      <color theme="0"/>
      <name val="Soberana Sans Light"/>
      <family val="3"/>
    </font>
    <font>
      <b/>
      <sz val="12"/>
      <color theme="1"/>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b/>
      <sz val="10"/>
      <name val="Soberana Sans Light"/>
      <family val="3"/>
    </font>
    <font>
      <sz val="16"/>
      <name val="Soberana Sans Light"/>
      <family val="3"/>
    </font>
    <font>
      <sz val="16"/>
      <color theme="1"/>
      <name val="Soberana Sans Light"/>
      <family val="3"/>
    </font>
    <font>
      <b/>
      <sz val="11"/>
      <color rgb="FF000000"/>
      <name val="Soberana Sans"/>
      <family val="3"/>
    </font>
    <font>
      <b/>
      <sz val="22"/>
      <color theme="1"/>
      <name val="Soberana Sans Ultra"/>
      <family val="3"/>
    </font>
    <font>
      <b/>
      <sz val="9"/>
      <color theme="1"/>
      <name val="Soberana Sans"/>
      <family val="3"/>
    </font>
    <font>
      <b/>
      <sz val="10"/>
      <color theme="1"/>
      <name val="Soberana Sans"/>
      <family val="3"/>
    </font>
    <font>
      <b/>
      <sz val="11"/>
      <color theme="1"/>
      <name val="Soberana Sans"/>
      <family val="3"/>
    </font>
    <font>
      <sz val="11"/>
      <color theme="0"/>
      <name val="Soberana Sans Light"/>
      <family val="3"/>
    </font>
    <font>
      <b/>
      <sz val="12"/>
      <color theme="0"/>
      <name val="Soberana Sans"/>
      <family val="3"/>
    </font>
    <font>
      <b/>
      <sz val="14"/>
      <color theme="1"/>
      <name val="Calibri"/>
      <family val="2"/>
      <scheme val="minor"/>
    </font>
    <font>
      <sz val="9"/>
      <color rgb="FFFFFFFF"/>
      <name val="Soberana Sans Light"/>
      <family val="3"/>
    </font>
    <font>
      <b/>
      <sz val="9"/>
      <color rgb="FF000000"/>
      <name val="Soberana Sans Light"/>
      <family val="3"/>
    </font>
    <font>
      <b/>
      <sz val="12"/>
      <name val="Soberana Sans Light"/>
      <family val="3"/>
    </font>
    <font>
      <sz val="9"/>
      <name val="Soberana Sans Light"/>
      <family val="3"/>
    </font>
    <font>
      <b/>
      <sz val="9"/>
      <name val="Soberana Sans Light"/>
      <family val="3"/>
    </font>
    <font>
      <sz val="8"/>
      <name val="Soberana Sans Light"/>
      <family val="3"/>
    </font>
    <font>
      <sz val="8"/>
      <name val="Arial"/>
      <family val="2"/>
    </font>
    <font>
      <sz val="9"/>
      <name val="Calibri"/>
      <family val="2"/>
      <scheme val="minor"/>
    </font>
    <font>
      <sz val="9"/>
      <name val="Arial"/>
      <family val="2"/>
    </font>
    <font>
      <b/>
      <i/>
      <sz val="9"/>
      <color rgb="FFFFFFFF"/>
      <name val="Soberana Sans Light"/>
      <family val="3"/>
    </font>
    <font>
      <b/>
      <sz val="9"/>
      <color theme="1"/>
      <name val="Soberana Sans Light"/>
      <family val="3"/>
    </font>
    <font>
      <b/>
      <sz val="10"/>
      <color rgb="FFFFFFFF"/>
      <name val="Soberana Sans Light"/>
      <family val="3"/>
    </font>
    <font>
      <b/>
      <sz val="12"/>
      <color theme="1"/>
      <name val="Arial"/>
      <family val="2"/>
    </font>
    <font>
      <b/>
      <sz val="12"/>
      <color theme="1"/>
      <name val="Times New Roman"/>
      <family val="1"/>
    </font>
    <font>
      <sz val="12"/>
      <color theme="1"/>
      <name val="Arial"/>
      <family val="2"/>
    </font>
    <font>
      <sz val="7"/>
      <color theme="1"/>
      <name val="Times New Roman"/>
      <family val="1"/>
    </font>
    <font>
      <sz val="16"/>
      <color rgb="FFFF0000"/>
      <name val="Arial"/>
      <family val="2"/>
    </font>
    <font>
      <sz val="10"/>
      <color theme="1"/>
      <name val="Times New Roman"/>
      <family val="1"/>
    </font>
    <font>
      <sz val="11"/>
      <color theme="1"/>
      <name val="Soberana Sanz light"/>
    </font>
    <font>
      <b/>
      <sz val="11"/>
      <color theme="1"/>
      <name val="Soberana Sanz light"/>
    </font>
    <font>
      <i/>
      <sz val="11"/>
      <color theme="1"/>
      <name val="Soberana Sanz light"/>
    </font>
    <font>
      <sz val="10"/>
      <color theme="1"/>
      <name val="Arial"/>
      <family val="2"/>
    </font>
    <font>
      <b/>
      <sz val="12"/>
      <name val="Soberana Titular"/>
      <family val="3"/>
    </font>
    <font>
      <sz val="11"/>
      <name val="Soberana Sans"/>
      <family val="3"/>
    </font>
    <font>
      <sz val="11"/>
      <color rgb="FF000000"/>
      <name val="Soberana Sans"/>
      <family val="3"/>
    </font>
    <font>
      <sz val="11"/>
      <color theme="1"/>
      <name val="Soberana Sans"/>
      <family val="3"/>
    </font>
    <font>
      <sz val="7"/>
      <color rgb="FF000000"/>
      <name val="Arial"/>
      <family val="2"/>
    </font>
    <font>
      <sz val="11"/>
      <color theme="0"/>
      <name val="Soberana Sans"/>
      <family val="3"/>
    </font>
    <font>
      <b/>
      <sz val="11"/>
      <name val="Soberana Sans"/>
      <family val="3"/>
    </font>
    <font>
      <b/>
      <sz val="11"/>
      <color rgb="FF595959"/>
      <name val="Soberana Sans"/>
      <family val="3"/>
    </font>
    <font>
      <i/>
      <sz val="11"/>
      <color theme="1"/>
      <name val="Soberana Sans"/>
      <family val="3"/>
    </font>
    <font>
      <sz val="10"/>
      <color theme="1"/>
      <name val="Soberana Sans"/>
      <family val="3"/>
    </font>
    <font>
      <b/>
      <sz val="18"/>
      <color theme="1"/>
      <name val="Soberana Sans Light"/>
      <family val="3"/>
    </font>
  </fonts>
  <fills count="12">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9BBB59"/>
        <bgColor indexed="64"/>
      </patternFill>
    </fill>
    <fill>
      <patternFill patternType="solid">
        <fgColor rgb="FFEAF1DD"/>
        <bgColor indexed="64"/>
      </patternFill>
    </fill>
    <fill>
      <patternFill patternType="solid">
        <fgColor theme="9"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style="medium">
        <color theme="9" tint="-0.24994659260841701"/>
      </left>
      <right style="medium">
        <color theme="9" tint="-0.24994659260841701"/>
      </right>
      <top style="medium">
        <color theme="9" tint="-0.24994659260841701"/>
      </top>
      <bottom/>
      <diagonal/>
    </border>
    <border>
      <left style="medium">
        <color theme="9" tint="-0.24994659260841701"/>
      </left>
      <right style="medium">
        <color theme="9" tint="-0.24994659260841701"/>
      </right>
      <top/>
      <bottom/>
      <diagonal/>
    </border>
    <border>
      <left style="medium">
        <color theme="9" tint="-0.24994659260841701"/>
      </left>
      <right style="medium">
        <color theme="9" tint="-0.24994659260841701"/>
      </right>
      <top/>
      <bottom style="medium">
        <color theme="9" tint="-0.24994659260841701"/>
      </bottom>
      <diagonal/>
    </border>
    <border>
      <left/>
      <right/>
      <top/>
      <bottom style="medium">
        <color rgb="FF9BBB59"/>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right style="medium">
        <color rgb="FFC2D69B"/>
      </right>
      <top/>
      <bottom style="medium">
        <color rgb="FFC2D69B"/>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322">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11" fillId="3" borderId="1" xfId="0" applyFont="1" applyFill="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0" xfId="0" applyFont="1"/>
    <xf numFmtId="0" fontId="7" fillId="0" borderId="0" xfId="0" applyFont="1" applyAlignment="1">
      <alignment horizontal="center" vertical="center"/>
    </xf>
    <xf numFmtId="0" fontId="5" fillId="3" borderId="1" xfId="0" applyFont="1" applyFill="1" applyBorder="1" applyAlignment="1">
      <alignment horizontal="center" vertical="center"/>
    </xf>
    <xf numFmtId="0" fontId="4" fillId="0" borderId="0" xfId="0" applyFont="1" applyFill="1"/>
    <xf numFmtId="0" fontId="5" fillId="0" borderId="1" xfId="0" applyFont="1" applyFill="1" applyBorder="1" applyAlignment="1">
      <alignment horizontal="center" vertical="center"/>
    </xf>
    <xf numFmtId="0" fontId="5" fillId="0" borderId="0" xfId="0" applyFont="1" applyFill="1" applyAlignment="1">
      <alignment horizontal="center" vertical="center" textRotation="90"/>
    </xf>
    <xf numFmtId="0" fontId="7" fillId="0" borderId="0" xfId="0" applyFont="1"/>
    <xf numFmtId="0" fontId="20" fillId="0" borderId="0" xfId="0" applyFont="1"/>
    <xf numFmtId="0" fontId="4" fillId="0" borderId="0" xfId="0" applyFont="1"/>
    <xf numFmtId="0" fontId="7" fillId="0" borderId="1" xfId="0" applyFont="1" applyBorder="1" applyAlignment="1">
      <alignment horizontal="center" vertical="center"/>
    </xf>
    <xf numFmtId="0" fontId="7" fillId="0" borderId="0" xfId="0" applyFont="1" applyBorder="1"/>
    <xf numFmtId="0" fontId="21" fillId="0" borderId="0" xfId="0" applyFont="1" applyFill="1" applyBorder="1" applyAlignment="1">
      <alignment horizontal="center" vertical="center"/>
    </xf>
    <xf numFmtId="0" fontId="20"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20" fillId="0" borderId="0" xfId="0" applyFont="1" applyAlignment="1">
      <alignment horizontal="center" vertical="center"/>
    </xf>
    <xf numFmtId="0" fontId="7" fillId="3" borderId="1" xfId="0" applyFont="1" applyFill="1" applyBorder="1" applyAlignment="1">
      <alignment horizontal="center" vertical="center" wrapText="1"/>
    </xf>
    <xf numFmtId="0" fontId="2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xf>
    <xf numFmtId="0" fontId="20" fillId="0" borderId="1" xfId="0" applyFont="1" applyBorder="1" applyAlignment="1">
      <alignment horizontal="center" vertical="center" wrapText="1"/>
    </xf>
    <xf numFmtId="0" fontId="29" fillId="2" borderId="1" xfId="0" applyFont="1" applyFill="1" applyBorder="1" applyAlignment="1">
      <alignment horizontal="center" vertical="center" wrapText="1"/>
    </xf>
    <xf numFmtId="0" fontId="29" fillId="2" borderId="1" xfId="0" applyFont="1" applyFill="1" applyBorder="1" applyAlignment="1">
      <alignment horizontal="center" vertical="center"/>
    </xf>
    <xf numFmtId="0" fontId="7" fillId="0" borderId="1" xfId="0" applyFont="1" applyBorder="1" applyAlignment="1">
      <alignment horizontal="center" vertical="center" wrapText="1"/>
    </xf>
    <xf numFmtId="0" fontId="34" fillId="3" borderId="1" xfId="0" applyFont="1" applyFill="1" applyBorder="1" applyAlignment="1">
      <alignment horizontal="center" vertical="center" wrapText="1"/>
    </xf>
    <xf numFmtId="0" fontId="35" fillId="3" borderId="1" xfId="0" applyFont="1" applyFill="1" applyBorder="1" applyAlignment="1">
      <alignment horizontal="center" vertical="center"/>
    </xf>
    <xf numFmtId="0" fontId="5" fillId="3" borderId="7" xfId="0" applyFont="1" applyFill="1" applyBorder="1" applyAlignment="1">
      <alignment horizontal="center" vertical="center"/>
    </xf>
    <xf numFmtId="0" fontId="5" fillId="0" borderId="0" xfId="0" applyFont="1" applyFill="1" applyBorder="1" applyAlignment="1">
      <alignment vertical="center" wrapText="1"/>
    </xf>
    <xf numFmtId="0" fontId="0" fillId="0" borderId="0" xfId="0" applyAlignment="1"/>
    <xf numFmtId="0" fontId="5" fillId="0" borderId="1" xfId="0" applyFont="1" applyFill="1" applyBorder="1" applyAlignment="1">
      <alignment horizontal="center" vertical="center"/>
    </xf>
    <xf numFmtId="0" fontId="31" fillId="2" borderId="1" xfId="0" applyFont="1" applyFill="1" applyBorder="1" applyAlignment="1">
      <alignment horizontal="center" vertical="center"/>
    </xf>
    <xf numFmtId="2" fontId="5" fillId="0" borderId="1" xfId="0" applyNumberFormat="1" applyFont="1" applyFill="1" applyBorder="1" applyAlignment="1">
      <alignment horizontal="center" vertical="center"/>
    </xf>
    <xf numFmtId="164" fontId="5" fillId="6" borderId="1" xfId="0" applyNumberFormat="1" applyFont="1" applyFill="1" applyBorder="1" applyAlignment="1">
      <alignment horizontal="center" vertical="center"/>
    </xf>
    <xf numFmtId="0" fontId="5" fillId="0" borderId="2" xfId="0" applyFont="1" applyFill="1" applyBorder="1" applyAlignment="1">
      <alignment horizontal="center" vertical="center" wrapText="1"/>
    </xf>
    <xf numFmtId="0" fontId="30" fillId="0" borderId="2" xfId="0" applyFont="1" applyBorder="1" applyAlignment="1">
      <alignment horizontal="center" vertical="center"/>
    </xf>
    <xf numFmtId="0" fontId="12" fillId="3" borderId="2" xfId="0" applyFont="1" applyFill="1" applyBorder="1" applyAlignment="1">
      <alignment horizontal="center" vertical="center" textRotation="90"/>
    </xf>
    <xf numFmtId="0" fontId="6" fillId="0" borderId="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37" fillId="7" borderId="15" xfId="0" applyFont="1" applyFill="1" applyBorder="1" applyAlignment="1">
      <alignment horizontal="center" vertical="center" wrapText="1"/>
    </xf>
    <xf numFmtId="0" fontId="38" fillId="8" borderId="15" xfId="0" applyFont="1" applyFill="1" applyBorder="1" applyAlignment="1">
      <alignment vertical="center" wrapText="1"/>
    </xf>
    <xf numFmtId="0" fontId="13" fillId="8" borderId="15" xfId="0" applyFont="1" applyFill="1" applyBorder="1" applyAlignment="1">
      <alignment horizontal="center" vertical="center" wrapText="1"/>
    </xf>
    <xf numFmtId="9" fontId="13" fillId="8" borderId="15" xfId="0" applyNumberFormat="1" applyFont="1" applyFill="1" applyBorder="1" applyAlignment="1">
      <alignment horizontal="center" vertical="center" wrapText="1"/>
    </xf>
    <xf numFmtId="0" fontId="38" fillId="0" borderId="15" xfId="0" applyFont="1" applyBorder="1" applyAlignment="1">
      <alignment vertical="center" wrapText="1"/>
    </xf>
    <xf numFmtId="0" fontId="13" fillId="0" borderId="15" xfId="0" applyFont="1" applyBorder="1" applyAlignment="1">
      <alignment horizontal="center" vertical="center" wrapText="1"/>
    </xf>
    <xf numFmtId="9" fontId="13" fillId="6" borderId="15" xfId="0" applyNumberFormat="1" applyFont="1" applyFill="1" applyBorder="1" applyAlignment="1">
      <alignment horizontal="center" vertical="center" wrapText="1"/>
    </xf>
    <xf numFmtId="0" fontId="38" fillId="6" borderId="15" xfId="0" applyFont="1" applyFill="1" applyBorder="1" applyAlignment="1">
      <alignment vertical="center" wrapText="1"/>
    </xf>
    <xf numFmtId="0" fontId="13" fillId="6" borderId="15" xfId="0" applyFont="1" applyFill="1" applyBorder="1" applyAlignment="1">
      <alignment horizontal="center" vertical="center" wrapText="1"/>
    </xf>
    <xf numFmtId="164"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center" vertical="center" wrapText="1"/>
    </xf>
    <xf numFmtId="0" fontId="39" fillId="0" borderId="1" xfId="0" applyFont="1" applyFill="1" applyBorder="1" applyAlignment="1">
      <alignment vertical="center" textRotation="90"/>
    </xf>
    <xf numFmtId="0" fontId="40" fillId="0" borderId="1" xfId="0" applyFont="1" applyFill="1" applyBorder="1" applyAlignment="1">
      <alignment horizontal="center" vertical="center" wrapText="1"/>
    </xf>
    <xf numFmtId="0" fontId="39" fillId="0" borderId="1" xfId="0" applyFont="1" applyFill="1" applyBorder="1" applyAlignment="1">
      <alignment horizontal="center" vertical="center" textRotation="90"/>
    </xf>
    <xf numFmtId="0" fontId="40" fillId="0" borderId="1" xfId="0" applyFont="1" applyFill="1" applyBorder="1" applyAlignment="1">
      <alignment horizontal="center" vertical="center"/>
    </xf>
    <xf numFmtId="0" fontId="39" fillId="0" borderId="2" xfId="0" applyFont="1" applyFill="1" applyBorder="1" applyAlignment="1">
      <alignment horizontal="center" vertical="center" textRotation="90"/>
    </xf>
    <xf numFmtId="0" fontId="40" fillId="0" borderId="2" xfId="0" applyFont="1" applyFill="1" applyBorder="1" applyAlignment="1">
      <alignment horizontal="center" vertical="center" wrapText="1"/>
    </xf>
    <xf numFmtId="0" fontId="39" fillId="6" borderId="2" xfId="0" applyFont="1" applyFill="1" applyBorder="1" applyAlignment="1">
      <alignment horizontal="center" vertical="center" textRotation="90"/>
    </xf>
    <xf numFmtId="0" fontId="40" fillId="6" borderId="2" xfId="0" applyFont="1" applyFill="1" applyBorder="1" applyAlignment="1">
      <alignment horizontal="center" vertical="center" wrapText="1"/>
    </xf>
    <xf numFmtId="0" fontId="40" fillId="0" borderId="2" xfId="0" applyFont="1" applyFill="1" applyBorder="1" applyAlignment="1">
      <alignment horizontal="center" vertical="center"/>
    </xf>
    <xf numFmtId="0" fontId="39" fillId="0" borderId="2" xfId="0" applyFont="1" applyFill="1" applyBorder="1" applyAlignment="1">
      <alignment vertical="center" textRotation="90"/>
    </xf>
    <xf numFmtId="0" fontId="40" fillId="0" borderId="2" xfId="0" applyFont="1" applyFill="1" applyBorder="1" applyAlignment="1">
      <alignment vertical="center" wrapText="1"/>
    </xf>
    <xf numFmtId="0" fontId="42" fillId="0" borderId="1" xfId="0" applyFont="1" applyFill="1" applyBorder="1" applyAlignment="1">
      <alignment horizontal="center" vertical="center" wrapText="1"/>
    </xf>
    <xf numFmtId="0" fontId="40" fillId="6" borderId="1" xfId="0" applyFont="1" applyFill="1" applyBorder="1" applyAlignment="1">
      <alignment horizontal="center" vertical="center" wrapText="1"/>
    </xf>
    <xf numFmtId="0" fontId="43" fillId="0" borderId="1" xfId="0" applyFont="1" applyFill="1" applyBorder="1" applyAlignment="1">
      <alignment horizontal="center" vertical="center" wrapText="1"/>
    </xf>
    <xf numFmtId="0" fontId="40" fillId="6" borderId="1" xfId="0" applyFont="1" applyFill="1" applyBorder="1" applyAlignment="1">
      <alignment vertical="center"/>
    </xf>
    <xf numFmtId="0" fontId="40" fillId="6" borderId="1" xfId="0" applyFont="1" applyFill="1" applyBorder="1" applyAlignment="1">
      <alignment vertical="center" wrapText="1"/>
    </xf>
    <xf numFmtId="0" fontId="40" fillId="0" borderId="1" xfId="0" applyFont="1" applyBorder="1" applyAlignment="1">
      <alignment horizontal="center" vertical="center" wrapText="1"/>
    </xf>
    <xf numFmtId="0" fontId="39" fillId="6" borderId="1" xfId="0" applyFont="1" applyFill="1" applyBorder="1" applyAlignment="1">
      <alignment horizontal="center" vertical="center" textRotation="90"/>
    </xf>
    <xf numFmtId="0" fontId="43" fillId="6" borderId="1" xfId="0" applyFont="1" applyFill="1" applyBorder="1" applyAlignment="1">
      <alignment horizontal="center" vertical="center" wrapText="1"/>
    </xf>
    <xf numFmtId="0" fontId="40" fillId="6" borderId="1" xfId="0" applyFont="1" applyFill="1" applyBorder="1" applyAlignment="1">
      <alignment horizontal="center" vertical="center"/>
    </xf>
    <xf numFmtId="2" fontId="40" fillId="6" borderId="1" xfId="0" applyNumberFormat="1" applyFont="1" applyFill="1" applyBorder="1" applyAlignment="1">
      <alignment horizontal="center" vertical="center"/>
    </xf>
    <xf numFmtId="0" fontId="44" fillId="6" borderId="1" xfId="0" applyFont="1" applyFill="1" applyBorder="1" applyAlignment="1">
      <alignment horizontal="center" vertical="center" wrapText="1"/>
    </xf>
    <xf numFmtId="0" fontId="0" fillId="0" borderId="19" xfId="0" applyBorder="1" applyAlignment="1">
      <alignment horizontal="center"/>
    </xf>
    <xf numFmtId="0" fontId="46" fillId="9" borderId="20" xfId="0" applyFont="1" applyFill="1" applyBorder="1" applyAlignment="1">
      <alignment horizontal="center" vertical="center"/>
    </xf>
    <xf numFmtId="0" fontId="46" fillId="9" borderId="21" xfId="0" applyFont="1" applyFill="1" applyBorder="1" applyAlignment="1">
      <alignment horizontal="center" vertical="center" wrapText="1"/>
    </xf>
    <xf numFmtId="0" fontId="46" fillId="9" borderId="22" xfId="0" applyFont="1" applyFill="1" applyBorder="1" applyAlignment="1">
      <alignment horizontal="center" vertical="center" wrapText="1"/>
    </xf>
    <xf numFmtId="0" fontId="47" fillId="10" borderId="23" xfId="0" applyFont="1" applyFill="1" applyBorder="1" applyAlignment="1">
      <alignment horizontal="center" vertical="center"/>
    </xf>
    <xf numFmtId="9" fontId="38" fillId="10" borderId="24" xfId="0" applyNumberFormat="1" applyFont="1" applyFill="1" applyBorder="1" applyAlignment="1">
      <alignment horizontal="center" vertical="center" wrapText="1"/>
    </xf>
    <xf numFmtId="0" fontId="48" fillId="9" borderId="20" xfId="0" applyFont="1" applyFill="1" applyBorder="1" applyAlignment="1">
      <alignment horizontal="center" vertical="center" wrapText="1"/>
    </xf>
    <xf numFmtId="0" fontId="48" fillId="9" borderId="21" xfId="0" applyFont="1" applyFill="1" applyBorder="1" applyAlignment="1">
      <alignment horizontal="center" vertical="center" wrapText="1"/>
    </xf>
    <xf numFmtId="0" fontId="48" fillId="9" borderId="22" xfId="0" applyFont="1" applyFill="1" applyBorder="1" applyAlignment="1">
      <alignment horizontal="center" vertical="center" wrapText="1"/>
    </xf>
    <xf numFmtId="0" fontId="14" fillId="10" borderId="23" xfId="0" applyFont="1" applyFill="1" applyBorder="1" applyAlignment="1">
      <alignment horizontal="center" vertical="center" wrapText="1"/>
    </xf>
    <xf numFmtId="0" fontId="8" fillId="10" borderId="24" xfId="0" applyFont="1" applyFill="1" applyBorder="1" applyAlignment="1">
      <alignment horizontal="center" vertical="center" wrapText="1"/>
    </xf>
    <xf numFmtId="0" fontId="14"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51" fillId="0" borderId="0" xfId="0" applyFont="1" applyAlignment="1">
      <alignment horizontal="justify" vertical="center"/>
    </xf>
    <xf numFmtId="0" fontId="51" fillId="0" borderId="0" xfId="0" applyFont="1" applyAlignment="1">
      <alignment horizontal="left" vertical="justify"/>
    </xf>
    <xf numFmtId="0" fontId="0" fillId="0" borderId="0" xfId="0" applyAlignment="1">
      <alignment horizontal="left" vertical="justify"/>
    </xf>
    <xf numFmtId="0" fontId="49" fillId="0" borderId="0" xfId="0" applyFont="1" applyAlignment="1">
      <alignment horizontal="left" vertical="center"/>
    </xf>
    <xf numFmtId="0" fontId="0" fillId="0" borderId="0" xfId="0" applyAlignment="1">
      <alignment horizontal="left"/>
    </xf>
    <xf numFmtId="1" fontId="5" fillId="10" borderId="23" xfId="0" applyNumberFormat="1" applyFont="1" applyFill="1" applyBorder="1" applyAlignment="1">
      <alignment horizontal="center" vertical="center"/>
    </xf>
    <xf numFmtId="1" fontId="5" fillId="6" borderId="23" xfId="0" applyNumberFormat="1" applyFont="1" applyFill="1" applyBorder="1" applyAlignment="1">
      <alignment horizontal="center" vertical="center"/>
    </xf>
    <xf numFmtId="3" fontId="13" fillId="8" borderId="15" xfId="0" applyNumberFormat="1" applyFont="1" applyFill="1" applyBorder="1" applyAlignment="1">
      <alignment horizontal="center" vertical="center" wrapText="1"/>
    </xf>
    <xf numFmtId="3" fontId="13" fillId="0" borderId="15" xfId="0" applyNumberFormat="1" applyFont="1" applyBorder="1" applyAlignment="1">
      <alignment horizontal="center" vertical="center" wrapText="1"/>
    </xf>
    <xf numFmtId="3" fontId="13" fillId="6" borderId="15" xfId="0" applyNumberFormat="1" applyFont="1" applyFill="1" applyBorder="1" applyAlignment="1">
      <alignment horizontal="center" vertical="center" wrapText="1"/>
    </xf>
    <xf numFmtId="1" fontId="13" fillId="8" borderId="15" xfId="0" applyNumberFormat="1" applyFont="1" applyFill="1" applyBorder="1" applyAlignment="1">
      <alignment horizontal="center" vertical="center" wrapText="1"/>
    </xf>
    <xf numFmtId="1" fontId="13" fillId="6" borderId="15" xfId="0" applyNumberFormat="1" applyFont="1" applyFill="1" applyBorder="1" applyAlignment="1">
      <alignment horizontal="center" vertical="center" wrapText="1"/>
    </xf>
    <xf numFmtId="0" fontId="0" fillId="0" borderId="25" xfId="0" applyBorder="1" applyAlignment="1">
      <alignment vertical="center" wrapText="1"/>
    </xf>
    <xf numFmtId="0" fontId="0" fillId="0" borderId="27" xfId="0" applyBorder="1" applyAlignment="1">
      <alignment vertical="center" wrapText="1"/>
    </xf>
    <xf numFmtId="9" fontId="0" fillId="0" borderId="26" xfId="0" applyNumberFormat="1" applyBorder="1" applyAlignment="1">
      <alignment horizontal="center" vertical="center" wrapText="1"/>
    </xf>
    <xf numFmtId="9" fontId="0" fillId="0" borderId="28" xfId="0" applyNumberFormat="1" applyBorder="1" applyAlignment="1">
      <alignment horizontal="center" vertical="center" wrapText="1"/>
    </xf>
    <xf numFmtId="0" fontId="0" fillId="0" borderId="26" xfId="0" applyBorder="1" applyAlignment="1">
      <alignment horizontal="center" vertical="center" wrapText="1"/>
    </xf>
    <xf numFmtId="0" fontId="0" fillId="0" borderId="28" xfId="0" applyBorder="1" applyAlignment="1">
      <alignment horizontal="center" vertical="center" wrapText="1"/>
    </xf>
    <xf numFmtId="164" fontId="0" fillId="0" borderId="28" xfId="0" applyNumberFormat="1" applyBorder="1" applyAlignment="1">
      <alignment horizontal="center" vertical="center" wrapText="1"/>
    </xf>
    <xf numFmtId="165" fontId="0" fillId="0" borderId="0" xfId="0" applyNumberFormat="1"/>
    <xf numFmtId="0" fontId="0" fillId="6" borderId="0" xfId="0" applyFill="1"/>
    <xf numFmtId="0" fontId="55" fillId="0" borderId="0" xfId="0" applyFont="1"/>
    <xf numFmtId="0" fontId="56" fillId="0" borderId="0" xfId="0" applyFont="1" applyAlignment="1">
      <alignment horizontal="center"/>
    </xf>
    <xf numFmtId="0" fontId="55" fillId="0" borderId="0" xfId="0" applyFont="1" applyAlignment="1">
      <alignment horizontal="left"/>
    </xf>
    <xf numFmtId="0" fontId="56" fillId="0" borderId="0" xfId="0" applyFont="1"/>
    <xf numFmtId="0" fontId="56" fillId="4" borderId="1" xfId="0" applyFont="1" applyFill="1" applyBorder="1" applyAlignment="1">
      <alignment horizontal="center" vertical="center" wrapText="1"/>
    </xf>
    <xf numFmtId="9" fontId="55" fillId="0" borderId="1" xfId="0" applyNumberFormat="1" applyFont="1" applyBorder="1" applyAlignment="1">
      <alignment horizontal="center" vertical="center" wrapText="1"/>
    </xf>
    <xf numFmtId="9" fontId="55" fillId="0" borderId="2" xfId="0" applyNumberFormat="1" applyFont="1" applyBorder="1" applyAlignment="1">
      <alignment horizontal="center" vertical="center" wrapText="1"/>
    </xf>
    <xf numFmtId="9" fontId="58" fillId="0" borderId="1" xfId="0" applyNumberFormat="1" applyFont="1" applyBorder="1" applyAlignment="1">
      <alignment horizontal="center" vertical="center" wrapText="1"/>
    </xf>
    <xf numFmtId="0" fontId="2" fillId="6" borderId="0" xfId="0" applyFont="1" applyFill="1"/>
    <xf numFmtId="0" fontId="1" fillId="6" borderId="0" xfId="0" applyFont="1" applyFill="1" applyAlignment="1">
      <alignment vertical="center"/>
    </xf>
    <xf numFmtId="0" fontId="0" fillId="6" borderId="0" xfId="0" applyFont="1" applyFill="1" applyAlignment="1">
      <alignment vertical="center"/>
    </xf>
    <xf numFmtId="0" fontId="2" fillId="6" borderId="0" xfId="0" applyFont="1" applyFill="1" applyAlignment="1">
      <alignment wrapText="1"/>
    </xf>
    <xf numFmtId="0" fontId="3" fillId="6" borderId="0" xfId="0" applyFont="1" applyFill="1" applyAlignment="1">
      <alignment wrapText="1"/>
    </xf>
    <xf numFmtId="0" fontId="61" fillId="0" borderId="1" xfId="0" applyFont="1" applyBorder="1" applyAlignment="1">
      <alignment horizontal="left" vertical="center"/>
    </xf>
    <xf numFmtId="0" fontId="62" fillId="6" borderId="1" xfId="0" applyFont="1" applyFill="1" applyBorder="1" applyAlignment="1">
      <alignment vertical="center"/>
    </xf>
    <xf numFmtId="0" fontId="61" fillId="0" borderId="1" xfId="0" applyFont="1" applyBorder="1" applyAlignment="1">
      <alignment horizontal="center" vertical="center"/>
    </xf>
    <xf numFmtId="0" fontId="61" fillId="0" borderId="1" xfId="0" applyFont="1" applyBorder="1" applyAlignment="1">
      <alignment horizontal="center" vertical="center" wrapText="1"/>
    </xf>
    <xf numFmtId="0" fontId="62" fillId="6" borderId="1" xfId="0" applyFont="1" applyFill="1" applyBorder="1"/>
    <xf numFmtId="0" fontId="61" fillId="0" borderId="1" xfId="0" applyFont="1" applyBorder="1" applyAlignment="1">
      <alignment vertical="center" wrapText="1"/>
    </xf>
    <xf numFmtId="0" fontId="63" fillId="0" borderId="0" xfId="0" applyFont="1" applyBorder="1" applyAlignment="1">
      <alignment vertical="center" wrapText="1"/>
    </xf>
    <xf numFmtId="0" fontId="61" fillId="0" borderId="2" xfId="0" applyFont="1" applyBorder="1" applyAlignment="1">
      <alignment horizontal="center" vertical="center"/>
    </xf>
    <xf numFmtId="0" fontId="61" fillId="0" borderId="2" xfId="0" applyFont="1" applyBorder="1" applyAlignment="1">
      <alignment horizontal="center" vertical="center" wrapText="1"/>
    </xf>
    <xf numFmtId="0" fontId="62" fillId="6" borderId="1" xfId="0" applyFont="1" applyFill="1" applyBorder="1" applyAlignment="1"/>
    <xf numFmtId="0" fontId="66" fillId="11" borderId="1" xfId="0" applyFont="1" applyFill="1" applyBorder="1" applyAlignment="1">
      <alignment horizontal="center" vertical="center" wrapText="1"/>
    </xf>
    <xf numFmtId="0" fontId="66" fillId="11" borderId="1" xfId="0" applyFont="1" applyFill="1" applyBorder="1" applyAlignment="1">
      <alignment horizontal="center" vertical="center"/>
    </xf>
    <xf numFmtId="0" fontId="62" fillId="6" borderId="1" xfId="0" applyFont="1" applyFill="1" applyBorder="1" applyAlignment="1">
      <alignment horizontal="center" vertical="center" wrapText="1"/>
    </xf>
    <xf numFmtId="0" fontId="62" fillId="6" borderId="1" xfId="0" applyFont="1" applyFill="1" applyBorder="1" applyAlignment="1">
      <alignment wrapText="1"/>
    </xf>
    <xf numFmtId="0" fontId="65" fillId="6" borderId="1" xfId="0" applyFont="1" applyFill="1" applyBorder="1" applyAlignment="1">
      <alignment vertical="center" wrapText="1"/>
    </xf>
    <xf numFmtId="0" fontId="65" fillId="6" borderId="0" xfId="0" applyFont="1" applyFill="1" applyBorder="1" applyAlignment="1">
      <alignment horizontal="left" vertical="center" wrapText="1"/>
    </xf>
    <xf numFmtId="0" fontId="62" fillId="6" borderId="0" xfId="0" applyFont="1" applyFill="1" applyBorder="1" applyAlignment="1">
      <alignment horizontal="left" vertical="center" wrapText="1"/>
    </xf>
    <xf numFmtId="0" fontId="62" fillId="6" borderId="0" xfId="0" applyFont="1" applyFill="1" applyBorder="1" applyAlignment="1">
      <alignment horizontal="left" wrapText="1"/>
    </xf>
    <xf numFmtId="0" fontId="62" fillId="6" borderId="0" xfId="0" applyFont="1" applyFill="1" applyAlignment="1">
      <alignment horizontal="left" wrapText="1"/>
    </xf>
    <xf numFmtId="0" fontId="65" fillId="6" borderId="0" xfId="0" applyFont="1" applyFill="1" applyBorder="1" applyAlignment="1">
      <alignment vertical="center" wrapText="1"/>
    </xf>
    <xf numFmtId="0" fontId="62" fillId="6" borderId="0" xfId="0" applyFont="1" applyFill="1"/>
    <xf numFmtId="0" fontId="62" fillId="6" borderId="0" xfId="0" applyFont="1" applyFill="1" applyBorder="1" applyAlignment="1">
      <alignment vertical="center" wrapText="1"/>
    </xf>
    <xf numFmtId="0" fontId="68" fillId="6" borderId="0" xfId="0" applyFont="1" applyFill="1" applyAlignment="1">
      <alignment wrapText="1"/>
    </xf>
    <xf numFmtId="0" fontId="68" fillId="6" borderId="0" xfId="0" applyFont="1" applyFill="1"/>
    <xf numFmtId="0" fontId="56" fillId="0" borderId="6" xfId="0" applyFont="1" applyBorder="1" applyAlignment="1">
      <alignment horizontal="center" vertical="center" wrapText="1"/>
    </xf>
    <xf numFmtId="0" fontId="56" fillId="0" borderId="5" xfId="0" applyFont="1" applyBorder="1" applyAlignment="1">
      <alignment horizontal="center" vertical="center" wrapText="1"/>
    </xf>
    <xf numFmtId="0" fontId="55" fillId="0" borderId="6" xfId="0" applyFont="1" applyBorder="1" applyAlignment="1">
      <alignment horizontal="center" vertical="center"/>
    </xf>
    <xf numFmtId="0" fontId="55" fillId="0" borderId="7" xfId="0" applyFont="1" applyBorder="1" applyAlignment="1">
      <alignment horizontal="center" vertical="center"/>
    </xf>
    <xf numFmtId="0" fontId="55" fillId="0" borderId="5" xfId="0" applyFont="1" applyBorder="1" applyAlignment="1">
      <alignment horizontal="center" vertical="center"/>
    </xf>
    <xf numFmtId="0" fontId="55" fillId="0" borderId="6" xfId="0" applyFont="1" applyBorder="1" applyAlignment="1">
      <alignment horizontal="justify" vertical="justify"/>
    </xf>
    <xf numFmtId="0" fontId="55" fillId="0" borderId="7" xfId="0" applyFont="1" applyBorder="1" applyAlignment="1">
      <alignment horizontal="justify" vertical="justify"/>
    </xf>
    <xf numFmtId="0" fontId="55" fillId="0" borderId="5" xfId="0" applyFont="1" applyBorder="1" applyAlignment="1">
      <alignment horizontal="justify" vertical="justify"/>
    </xf>
    <xf numFmtId="0" fontId="56" fillId="0" borderId="8" xfId="0" applyFont="1" applyBorder="1" applyAlignment="1">
      <alignment horizontal="center" vertical="center" wrapText="1"/>
    </xf>
    <xf numFmtId="0" fontId="56" fillId="0" borderId="9" xfId="0" applyFont="1" applyBorder="1" applyAlignment="1">
      <alignment horizontal="center" vertical="center" wrapText="1"/>
    </xf>
    <xf numFmtId="0" fontId="58" fillId="0" borderId="1" xfId="0" applyFont="1" applyBorder="1" applyAlignment="1">
      <alignment horizontal="center" vertical="center" wrapText="1"/>
    </xf>
    <xf numFmtId="0" fontId="55" fillId="0" borderId="1" xfId="0" applyFont="1" applyBorder="1" applyAlignment="1">
      <alignment horizontal="justify" vertical="justify"/>
    </xf>
    <xf numFmtId="0" fontId="56" fillId="0" borderId="1" xfId="0" applyFont="1" applyBorder="1" applyAlignment="1">
      <alignment horizontal="center" vertical="center" wrapText="1"/>
    </xf>
    <xf numFmtId="0" fontId="55" fillId="0" borderId="1" xfId="0" applyFont="1" applyBorder="1" applyAlignment="1">
      <alignment horizontal="center" vertical="center"/>
    </xf>
    <xf numFmtId="0" fontId="55" fillId="0" borderId="8" xfId="0" applyFont="1" applyBorder="1" applyAlignment="1">
      <alignment horizontal="center" vertical="center"/>
    </xf>
    <xf numFmtId="0" fontId="55" fillId="0" borderId="14" xfId="0" applyFont="1" applyBorder="1" applyAlignment="1">
      <alignment horizontal="center" vertical="center"/>
    </xf>
    <xf numFmtId="0" fontId="55" fillId="0" borderId="9" xfId="0" applyFont="1" applyBorder="1" applyAlignment="1">
      <alignment horizontal="center" vertical="center"/>
    </xf>
    <xf numFmtId="0" fontId="55" fillId="0" borderId="8" xfId="0" applyFont="1" applyBorder="1" applyAlignment="1">
      <alignment horizontal="justify" vertical="justify"/>
    </xf>
    <xf numFmtId="0" fontId="55" fillId="0" borderId="14" xfId="0" applyFont="1" applyBorder="1" applyAlignment="1">
      <alignment horizontal="justify" vertical="justify"/>
    </xf>
    <xf numFmtId="0" fontId="55" fillId="0" borderId="9" xfId="0" applyFont="1" applyBorder="1" applyAlignment="1">
      <alignment horizontal="justify" vertical="justify"/>
    </xf>
    <xf numFmtId="0" fontId="56" fillId="4" borderId="6" xfId="0" applyFont="1" applyFill="1" applyBorder="1" applyAlignment="1">
      <alignment horizontal="center" vertical="center" wrapText="1"/>
    </xf>
    <xf numFmtId="0" fontId="56" fillId="4" borderId="5" xfId="0" applyFont="1" applyFill="1" applyBorder="1" applyAlignment="1">
      <alignment horizontal="center" vertical="center" wrapText="1"/>
    </xf>
    <xf numFmtId="0" fontId="56" fillId="4" borderId="7" xfId="0" applyFont="1" applyFill="1" applyBorder="1" applyAlignment="1">
      <alignment horizontal="center" vertical="center" wrapText="1"/>
    </xf>
    <xf numFmtId="0" fontId="55" fillId="0" borderId="6" xfId="0" applyFont="1" applyBorder="1" applyAlignment="1">
      <alignment horizontal="center" vertical="center" wrapText="1"/>
    </xf>
    <xf numFmtId="0" fontId="55" fillId="0" borderId="7" xfId="0" applyFont="1" applyBorder="1" applyAlignment="1">
      <alignment horizontal="center" vertical="center" wrapText="1"/>
    </xf>
    <xf numFmtId="0" fontId="55" fillId="0" borderId="5" xfId="0" applyFont="1" applyBorder="1" applyAlignment="1">
      <alignment horizontal="center" vertical="center" wrapText="1"/>
    </xf>
    <xf numFmtId="0" fontId="57" fillId="0" borderId="13" xfId="0" applyFont="1" applyBorder="1" applyAlignment="1">
      <alignment horizontal="left"/>
    </xf>
    <xf numFmtId="0" fontId="56" fillId="2" borderId="2" xfId="0" applyFont="1" applyFill="1" applyBorder="1" applyAlignment="1">
      <alignment horizontal="center" vertical="center" wrapText="1"/>
    </xf>
    <xf numFmtId="0" fontId="24" fillId="0" borderId="0" xfId="0" applyFont="1" applyAlignment="1">
      <alignment horizontal="right" vertical="center"/>
    </xf>
    <xf numFmtId="0" fontId="7" fillId="0" borderId="0" xfId="0" applyFont="1" applyFill="1" applyAlignment="1">
      <alignment horizontal="justify" vertical="justify" wrapText="1"/>
    </xf>
    <xf numFmtId="0" fontId="24" fillId="4" borderId="0" xfId="0" applyFont="1" applyFill="1" applyAlignment="1">
      <alignment horizontal="center" vertical="center"/>
    </xf>
    <xf numFmtId="0" fontId="61" fillId="0" borderId="1" xfId="0" applyFont="1" applyBorder="1" applyAlignment="1">
      <alignment horizontal="left" vertical="center" wrapText="1"/>
    </xf>
    <xf numFmtId="0" fontId="67" fillId="0" borderId="0" xfId="0" applyFont="1" applyAlignment="1">
      <alignment horizontal="left" vertical="center"/>
    </xf>
    <xf numFmtId="0" fontId="67" fillId="0" borderId="0" xfId="0" applyFont="1" applyAlignment="1">
      <alignment horizontal="left"/>
    </xf>
    <xf numFmtId="0" fontId="33" fillId="0" borderId="0" xfId="0" applyFont="1" applyAlignment="1">
      <alignment horizontal="center" vertical="center"/>
    </xf>
    <xf numFmtId="0" fontId="29" fillId="6" borderId="0" xfId="0" applyFont="1" applyFill="1" applyBorder="1" applyAlignment="1">
      <alignment horizontal="center" vertical="center"/>
    </xf>
    <xf numFmtId="0" fontId="65" fillId="11" borderId="14" xfId="0" applyFont="1" applyFill="1" applyBorder="1" applyAlignment="1">
      <alignment horizontal="center" vertical="center" wrapText="1"/>
    </xf>
    <xf numFmtId="0" fontId="65" fillId="11" borderId="8" xfId="0" applyFont="1" applyFill="1" applyBorder="1" applyAlignment="1">
      <alignment horizontal="center" vertical="center" wrapText="1"/>
    </xf>
    <xf numFmtId="0" fontId="65" fillId="11" borderId="9" xfId="0" applyFont="1" applyFill="1" applyBorder="1" applyAlignment="1">
      <alignment horizontal="center" vertical="center" wrapText="1"/>
    </xf>
    <xf numFmtId="0" fontId="65" fillId="11" borderId="11" xfId="0" applyFont="1" applyFill="1" applyBorder="1" applyAlignment="1">
      <alignment horizontal="center" vertical="center" wrapText="1"/>
    </xf>
    <xf numFmtId="0" fontId="65" fillId="11" borderId="13" xfId="0" applyFont="1" applyFill="1" applyBorder="1" applyAlignment="1">
      <alignment horizontal="center" vertical="center" wrapText="1"/>
    </xf>
    <xf numFmtId="0" fontId="65" fillId="11" borderId="12" xfId="0" applyFont="1" applyFill="1" applyBorder="1" applyAlignment="1">
      <alignment horizontal="center" vertical="center" wrapText="1"/>
    </xf>
    <xf numFmtId="0" fontId="65" fillId="11" borderId="1" xfId="0" applyFont="1" applyFill="1" applyBorder="1" applyAlignment="1">
      <alignment horizontal="center" vertical="center" wrapText="1"/>
    </xf>
    <xf numFmtId="0" fontId="62" fillId="0" borderId="1" xfId="0" applyFont="1" applyBorder="1" applyAlignment="1">
      <alignment horizontal="left" vertical="center" wrapText="1"/>
    </xf>
    <xf numFmtId="0" fontId="60" fillId="6" borderId="6" xfId="0" applyFont="1" applyFill="1" applyBorder="1" applyAlignment="1">
      <alignment horizontal="center" vertical="center" wrapText="1"/>
    </xf>
    <xf numFmtId="0" fontId="60" fillId="6" borderId="7" xfId="0" applyFont="1" applyFill="1" applyBorder="1" applyAlignment="1">
      <alignment horizontal="center" vertical="center" wrapText="1"/>
    </xf>
    <xf numFmtId="0" fontId="60" fillId="6" borderId="5" xfId="0" applyFont="1" applyFill="1" applyBorder="1" applyAlignment="1">
      <alignment horizontal="center" vertical="center" wrapText="1"/>
    </xf>
    <xf numFmtId="0" fontId="65" fillId="6" borderId="6" xfId="0" applyFont="1" applyFill="1" applyBorder="1" applyAlignment="1">
      <alignment horizontal="center" vertical="center" wrapText="1"/>
    </xf>
    <xf numFmtId="0" fontId="65" fillId="6" borderId="7"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60" fillId="6" borderId="6" xfId="0" applyFont="1" applyFill="1" applyBorder="1" applyAlignment="1">
      <alignment horizontal="center" wrapText="1"/>
    </xf>
    <xf numFmtId="0" fontId="60" fillId="6" borderId="7" xfId="0" applyFont="1" applyFill="1" applyBorder="1" applyAlignment="1">
      <alignment horizontal="center" wrapText="1"/>
    </xf>
    <xf numFmtId="0" fontId="60" fillId="6" borderId="5" xfId="0" applyFont="1" applyFill="1" applyBorder="1" applyAlignment="1">
      <alignment horizontal="center" wrapText="1"/>
    </xf>
    <xf numFmtId="0" fontId="61" fillId="11" borderId="14" xfId="0" applyFont="1" applyFill="1" applyBorder="1" applyAlignment="1">
      <alignment horizontal="center" vertical="center" wrapText="1"/>
    </xf>
    <xf numFmtId="0" fontId="61" fillId="0" borderId="1" xfId="0" applyFont="1" applyBorder="1" applyAlignment="1">
      <alignment horizontal="center" vertical="center" wrapText="1"/>
    </xf>
    <xf numFmtId="0" fontId="61" fillId="0" borderId="6" xfId="0" applyFont="1" applyBorder="1" applyAlignment="1">
      <alignment horizontal="center" vertical="center" wrapText="1"/>
    </xf>
    <xf numFmtId="0" fontId="61" fillId="0" borderId="7" xfId="0" applyFont="1" applyBorder="1" applyAlignment="1">
      <alignment horizontal="center" vertical="center" wrapText="1"/>
    </xf>
    <xf numFmtId="0" fontId="61" fillId="0" borderId="5" xfId="0" applyFont="1" applyBorder="1" applyAlignment="1">
      <alignment horizontal="center" vertical="center" wrapText="1"/>
    </xf>
    <xf numFmtId="0" fontId="61" fillId="6" borderId="1" xfId="0" applyFont="1" applyFill="1" applyBorder="1" applyAlignment="1">
      <alignment horizontal="center" vertical="center" wrapText="1"/>
    </xf>
    <xf numFmtId="0" fontId="62" fillId="6" borderId="1" xfId="0" applyFont="1" applyFill="1" applyBorder="1" applyAlignment="1">
      <alignment horizontal="center" vertical="center"/>
    </xf>
    <xf numFmtId="0" fontId="29" fillId="6" borderId="1" xfId="0" applyFont="1" applyFill="1" applyBorder="1" applyAlignment="1">
      <alignment horizontal="center" vertical="center"/>
    </xf>
    <xf numFmtId="0" fontId="64" fillId="6" borderId="1" xfId="0" applyFont="1" applyFill="1" applyBorder="1" applyAlignment="1">
      <alignment horizontal="center" vertical="center"/>
    </xf>
    <xf numFmtId="0" fontId="65" fillId="6" borderId="1" xfId="0" applyFont="1" applyFill="1" applyBorder="1" applyAlignment="1">
      <alignment horizontal="center" vertical="center" wrapText="1"/>
    </xf>
    <xf numFmtId="0" fontId="61" fillId="0" borderId="1" xfId="0" applyFont="1" applyBorder="1" applyAlignment="1">
      <alignment horizontal="left" vertical="center"/>
    </xf>
    <xf numFmtId="0" fontId="60" fillId="6" borderId="1" xfId="0" applyFont="1" applyFill="1" applyBorder="1" applyAlignment="1">
      <alignment horizontal="center" vertical="center"/>
    </xf>
    <xf numFmtId="0" fontId="61" fillId="6" borderId="1" xfId="0" applyFont="1" applyFill="1" applyBorder="1" applyAlignment="1">
      <alignment horizontal="left" vertical="center" wrapText="1"/>
    </xf>
    <xf numFmtId="0" fontId="62" fillId="6" borderId="1" xfId="0" applyFont="1" applyFill="1" applyBorder="1" applyAlignment="1">
      <alignment horizontal="center"/>
    </xf>
    <xf numFmtId="0" fontId="62" fillId="0" borderId="1" xfId="0" applyFont="1" applyBorder="1" applyAlignment="1">
      <alignment horizontal="left" vertical="center"/>
    </xf>
    <xf numFmtId="0" fontId="59" fillId="0" borderId="0" xfId="0" applyFont="1" applyBorder="1" applyAlignment="1">
      <alignment horizontal="right" vertical="center" wrapText="1"/>
    </xf>
    <xf numFmtId="0" fontId="60" fillId="6" borderId="0" xfId="0" applyFont="1" applyFill="1" applyBorder="1" applyAlignment="1">
      <alignment horizontal="justify" vertical="justify" wrapText="1"/>
    </xf>
    <xf numFmtId="0" fontId="60" fillId="6" borderId="0" xfId="0" applyFont="1" applyFill="1" applyBorder="1" applyAlignment="1">
      <alignment horizontal="center" vertical="justify" wrapText="1"/>
    </xf>
    <xf numFmtId="0" fontId="29" fillId="11" borderId="1" xfId="0" applyFont="1" applyFill="1" applyBorder="1" applyAlignment="1">
      <alignment horizontal="center" vertical="center"/>
    </xf>
    <xf numFmtId="0" fontId="61" fillId="0" borderId="1" xfId="0" applyFont="1" applyBorder="1" applyAlignment="1">
      <alignment horizontal="center" vertical="center"/>
    </xf>
    <xf numFmtId="0" fontId="62"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9" fillId="0" borderId="1" xfId="0" applyFont="1" applyFill="1" applyBorder="1" applyAlignment="1">
      <alignment horizontal="center" vertical="center" textRotation="90"/>
    </xf>
    <xf numFmtId="0" fontId="40" fillId="0" borderId="2" xfId="0" applyFont="1" applyFill="1" applyBorder="1" applyAlignment="1">
      <alignment horizontal="center" vertical="center" wrapText="1"/>
    </xf>
    <xf numFmtId="0" fontId="40" fillId="0" borderId="3"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39" fillId="0" borderId="2" xfId="0" applyFont="1" applyFill="1" applyBorder="1" applyAlignment="1">
      <alignment horizontal="center" vertical="center" textRotation="90"/>
    </xf>
    <xf numFmtId="0" fontId="39" fillId="0" borderId="3" xfId="0" applyFont="1" applyFill="1" applyBorder="1" applyAlignment="1">
      <alignment horizontal="center" vertical="center" textRotation="90"/>
    </xf>
    <xf numFmtId="0" fontId="39" fillId="0" borderId="4" xfId="0" applyFont="1" applyFill="1" applyBorder="1" applyAlignment="1">
      <alignment horizontal="center" vertical="center" textRotation="90"/>
    </xf>
    <xf numFmtId="0" fontId="40" fillId="0" borderId="1" xfId="0" applyFont="1" applyFill="1" applyBorder="1" applyAlignment="1">
      <alignment horizontal="center" vertical="center" wrapText="1"/>
    </xf>
    <xf numFmtId="0" fontId="12" fillId="3" borderId="1" xfId="0" applyFont="1" applyFill="1" applyBorder="1" applyAlignment="1">
      <alignment horizontal="center" vertical="center" textRotation="90"/>
    </xf>
    <xf numFmtId="0" fontId="30" fillId="0" borderId="1" xfId="0" applyFont="1" applyBorder="1" applyAlignment="1">
      <alignment horizontal="center" vertical="center"/>
    </xf>
    <xf numFmtId="0" fontId="12" fillId="3" borderId="1" xfId="0" applyFont="1" applyFill="1" applyBorder="1" applyAlignment="1">
      <alignment horizontal="center" vertical="center" textRotation="255"/>
    </xf>
    <xf numFmtId="0" fontId="12" fillId="3" borderId="2" xfId="0" applyFont="1" applyFill="1" applyBorder="1" applyAlignment="1">
      <alignment horizontal="center" vertical="center" textRotation="90"/>
    </xf>
    <xf numFmtId="0" fontId="12" fillId="3" borderId="3" xfId="0" applyFont="1" applyFill="1" applyBorder="1" applyAlignment="1">
      <alignment horizontal="center" vertical="center" textRotation="90"/>
    </xf>
    <xf numFmtId="0" fontId="12" fillId="3" borderId="4" xfId="0" applyFont="1" applyFill="1" applyBorder="1" applyAlignment="1">
      <alignment horizontal="center" vertical="center" textRotation="90"/>
    </xf>
    <xf numFmtId="0" fontId="30" fillId="0" borderId="2" xfId="0" applyFont="1" applyBorder="1" applyAlignment="1">
      <alignment horizontal="center"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1" fillId="2" borderId="1" xfId="0" applyFont="1" applyFill="1" applyBorder="1" applyAlignment="1">
      <alignment horizontal="center" vertical="center"/>
    </xf>
    <xf numFmtId="0" fontId="23" fillId="2" borderId="1" xfId="0" applyFont="1" applyFill="1" applyBorder="1" applyAlignment="1">
      <alignment horizontal="center" vertical="center"/>
    </xf>
    <xf numFmtId="0" fontId="14" fillId="0" borderId="1" xfId="0" applyFont="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1" fillId="2" borderId="2" xfId="0" applyFont="1" applyFill="1" applyBorder="1" applyAlignment="1">
      <alignment horizontal="center" vertical="center" wrapText="1"/>
    </xf>
    <xf numFmtId="0" fontId="31" fillId="2" borderId="4" xfId="0" applyFont="1" applyFill="1" applyBorder="1" applyAlignment="1">
      <alignment horizontal="center" vertical="center" wrapText="1"/>
    </xf>
    <xf numFmtId="0" fontId="31" fillId="3" borderId="2" xfId="0" applyFont="1" applyFill="1" applyBorder="1" applyAlignment="1">
      <alignment horizontal="center" vertical="center"/>
    </xf>
    <xf numFmtId="0" fontId="31" fillId="3" borderId="4" xfId="0" applyFont="1" applyFill="1" applyBorder="1" applyAlignment="1">
      <alignment horizontal="center" vertical="center"/>
    </xf>
    <xf numFmtId="0" fontId="31" fillId="2" borderId="8" xfId="0" applyFont="1" applyFill="1" applyBorder="1" applyAlignment="1">
      <alignment horizontal="center" vertical="center"/>
    </xf>
    <xf numFmtId="0" fontId="31" fillId="2" borderId="14" xfId="0" applyFont="1" applyFill="1" applyBorder="1" applyAlignment="1">
      <alignment horizontal="center" vertical="center"/>
    </xf>
    <xf numFmtId="0" fontId="31" fillId="2" borderId="9" xfId="0" applyFont="1" applyFill="1" applyBorder="1" applyAlignment="1">
      <alignment horizontal="center" vertical="center"/>
    </xf>
    <xf numFmtId="0" fontId="31" fillId="2" borderId="11" xfId="0" applyFont="1" applyFill="1" applyBorder="1" applyAlignment="1">
      <alignment horizontal="center" vertical="center"/>
    </xf>
    <xf numFmtId="0" fontId="31" fillId="2" borderId="13" xfId="0" applyFont="1" applyFill="1" applyBorder="1" applyAlignment="1">
      <alignment horizontal="center" vertical="center"/>
    </xf>
    <xf numFmtId="0" fontId="31" fillId="2" borderId="12" xfId="0" applyFont="1" applyFill="1" applyBorder="1" applyAlignment="1">
      <alignment horizontal="center" vertical="center"/>
    </xf>
    <xf numFmtId="0" fontId="31" fillId="2" borderId="1"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2" fillId="0" borderId="5" xfId="0" applyFont="1" applyBorder="1" applyAlignment="1">
      <alignment horizontal="center" vertical="center"/>
    </xf>
    <xf numFmtId="0" fontId="42" fillId="0" borderId="1" xfId="0" applyFont="1" applyFill="1" applyBorder="1" applyAlignment="1">
      <alignment horizontal="center" vertical="center"/>
    </xf>
    <xf numFmtId="0" fontId="42" fillId="0" borderId="1"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40" fillId="0" borderId="2" xfId="0" applyFont="1" applyFill="1" applyBorder="1" applyAlignment="1">
      <alignment horizontal="center" wrapText="1"/>
    </xf>
    <xf numFmtId="0" fontId="40" fillId="0" borderId="4" xfId="0" applyFont="1" applyFill="1" applyBorder="1" applyAlignment="1">
      <alignment horizontal="center" wrapText="1"/>
    </xf>
    <xf numFmtId="0" fontId="6" fillId="0"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31" fillId="3" borderId="1" xfId="0" applyFont="1" applyFill="1" applyBorder="1" applyAlignment="1">
      <alignment horizontal="center" vertical="center"/>
    </xf>
    <xf numFmtId="0" fontId="45" fillId="6" borderId="1" xfId="0" applyFont="1" applyFill="1" applyBorder="1" applyAlignment="1">
      <alignment horizontal="center" vertical="center" wrapText="1"/>
    </xf>
    <xf numFmtId="0" fontId="39" fillId="6" borderId="1" xfId="0" applyFont="1" applyFill="1" applyBorder="1" applyAlignment="1">
      <alignment horizontal="center" vertical="center" textRotation="90" wrapText="1"/>
    </xf>
    <xf numFmtId="0" fontId="43" fillId="6" borderId="1" xfId="0" applyFont="1" applyFill="1" applyBorder="1" applyAlignment="1">
      <alignment horizontal="center" vertical="center" wrapText="1"/>
    </xf>
    <xf numFmtId="0" fontId="12" fillId="3" borderId="1" xfId="0" applyFont="1" applyFill="1" applyBorder="1" applyAlignment="1">
      <alignment horizontal="center" vertical="center" textRotation="90" wrapText="1"/>
    </xf>
    <xf numFmtId="0" fontId="39" fillId="6" borderId="1" xfId="0" applyFont="1" applyFill="1" applyBorder="1" applyAlignment="1">
      <alignment horizontal="center" vertical="center" textRotation="90"/>
    </xf>
    <xf numFmtId="0" fontId="40" fillId="6" borderId="1" xfId="0" applyFont="1" applyFill="1" applyBorder="1" applyAlignment="1">
      <alignment horizontal="center" vertical="center" wrapText="1"/>
    </xf>
    <xf numFmtId="0" fontId="40" fillId="6"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29" fillId="2" borderId="6"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22" fillId="3" borderId="1" xfId="0" applyFont="1" applyFill="1" applyBorder="1" applyAlignment="1">
      <alignment horizontal="center" vertical="center"/>
    </xf>
    <xf numFmtId="0" fontId="9" fillId="5" borderId="1" xfId="0" applyFont="1" applyFill="1" applyBorder="1" applyAlignment="1">
      <alignment horizontal="center" vertical="center"/>
    </xf>
    <xf numFmtId="0" fontId="25" fillId="0" borderId="13" xfId="0" applyFont="1" applyBorder="1" applyAlignment="1">
      <alignment horizontal="right" vertical="center"/>
    </xf>
    <xf numFmtId="0" fontId="25" fillId="0" borderId="10" xfId="0" applyFont="1" applyBorder="1" applyAlignment="1">
      <alignment horizontal="right" vertical="center"/>
    </xf>
    <xf numFmtId="0" fontId="25" fillId="0" borderId="0" xfId="0" applyFont="1" applyBorder="1" applyAlignment="1">
      <alignment horizontal="right" vertical="center"/>
    </xf>
    <xf numFmtId="0" fontId="36" fillId="0" borderId="0" xfId="0" applyFont="1" applyAlignment="1">
      <alignment horizontal="center" vertical="justify"/>
    </xf>
    <xf numFmtId="0" fontId="38" fillId="8" borderId="16" xfId="0" applyFont="1" applyFill="1" applyBorder="1" applyAlignment="1">
      <alignment horizontal="center" vertical="center" wrapText="1"/>
    </xf>
    <xf numFmtId="0" fontId="38" fillId="8" borderId="17" xfId="0" applyFont="1" applyFill="1" applyBorder="1" applyAlignment="1">
      <alignment horizontal="center" vertical="center" wrapText="1"/>
    </xf>
    <xf numFmtId="0" fontId="38" fillId="8" borderId="18" xfId="0" applyFont="1" applyFill="1" applyBorder="1" applyAlignment="1">
      <alignment horizontal="center" vertical="center" wrapText="1"/>
    </xf>
    <xf numFmtId="0" fontId="51" fillId="0" borderId="0" xfId="0" applyFont="1" applyAlignment="1">
      <alignment horizontal="left" vertical="justify"/>
    </xf>
    <xf numFmtId="0" fontId="36" fillId="0" borderId="19" xfId="0" applyFont="1" applyBorder="1" applyAlignment="1">
      <alignment horizontal="center"/>
    </xf>
    <xf numFmtId="0" fontId="36" fillId="0" borderId="0" xfId="0" applyFont="1" applyAlignment="1">
      <alignment horizontal="center"/>
    </xf>
    <xf numFmtId="0" fontId="49" fillId="0" borderId="0" xfId="0" applyFont="1" applyAlignment="1">
      <alignment horizontal="left" vertical="center"/>
    </xf>
    <xf numFmtId="0" fontId="35" fillId="3" borderId="1" xfId="0" applyFont="1" applyFill="1" applyBorder="1" applyAlignment="1">
      <alignment horizontal="center" vertical="center"/>
    </xf>
    <xf numFmtId="0" fontId="33" fillId="2" borderId="6"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10" fillId="3" borderId="1" xfId="0" applyFont="1" applyFill="1" applyBorder="1" applyAlignment="1">
      <alignment horizontal="center" vertical="center"/>
    </xf>
    <xf numFmtId="0" fontId="26" fillId="3" borderId="1" xfId="0" applyFont="1" applyFill="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wrapText="1"/>
    </xf>
    <xf numFmtId="0" fontId="11" fillId="3" borderId="1" xfId="0" applyFont="1" applyFill="1" applyBorder="1" applyAlignment="1">
      <alignment horizontal="center" vertical="center"/>
    </xf>
    <xf numFmtId="0" fontId="38" fillId="8" borderId="15" xfId="0" applyFont="1" applyFill="1" applyBorder="1" applyAlignment="1">
      <alignment vertical="center" wrapText="1"/>
    </xf>
    <xf numFmtId="0" fontId="33" fillId="2" borderId="7"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5" xfId="0" applyFont="1" applyBorder="1" applyAlignment="1">
      <alignment horizontal="center" vertical="center"/>
    </xf>
    <xf numFmtId="0" fontId="55" fillId="0" borderId="6" xfId="0" applyFont="1" applyBorder="1" applyAlignment="1">
      <alignment horizontal="justify" vertical="center"/>
    </xf>
    <xf numFmtId="0" fontId="55" fillId="0" borderId="7" xfId="0" applyFont="1" applyBorder="1" applyAlignment="1">
      <alignment horizontal="justify" vertical="center"/>
    </xf>
    <xf numFmtId="0" fontId="55" fillId="0" borderId="5" xfId="0" applyFont="1" applyBorder="1" applyAlignment="1">
      <alignment horizontal="justify" vertical="center"/>
    </xf>
    <xf numFmtId="0" fontId="69" fillId="2" borderId="0" xfId="0" applyFont="1" applyFill="1" applyAlignment="1">
      <alignment horizontal="center" vertical="center"/>
    </xf>
    <xf numFmtId="1" fontId="69" fillId="2" borderId="0" xfId="0" applyNumberFormat="1" applyFont="1" applyFill="1" applyAlignment="1">
      <alignment horizontal="center" vertical="center"/>
    </xf>
    <xf numFmtId="1" fontId="27" fillId="0" borderId="1" xfId="0" applyNumberFormat="1" applyFont="1" applyFill="1" applyBorder="1" applyAlignment="1">
      <alignment horizontal="center" vertical="center" wrapText="1"/>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219074</xdr:colOff>
      <xdr:row>0</xdr:row>
      <xdr:rowOff>1066800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28924"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4" name="Text Box 11"/>
        <xdr:cNvSpPr txBox="1">
          <a:spLocks noChangeArrowheads="1"/>
        </xdr:cNvSpPr>
      </xdr:nvSpPr>
      <xdr:spPr bwMode="auto">
        <a:xfrm>
          <a:off x="7356627" y="352787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15</xdr:row>
      <xdr:rowOff>102054</xdr:rowOff>
    </xdr:from>
    <xdr:to>
      <xdr:col>5</xdr:col>
      <xdr:colOff>576941</xdr:colOff>
      <xdr:row>15</xdr:row>
      <xdr:rowOff>315687</xdr:rowOff>
    </xdr:to>
    <xdr:sp macro="" textlink="">
      <xdr:nvSpPr>
        <xdr:cNvPr id="5" name="Rectangle 15"/>
        <xdr:cNvSpPr>
          <a:spLocks noChangeArrowheads="1"/>
        </xdr:cNvSpPr>
      </xdr:nvSpPr>
      <xdr:spPr bwMode="auto">
        <a:xfrm>
          <a:off x="5421084"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7</xdr:col>
      <xdr:colOff>424542</xdr:colOff>
      <xdr:row>15</xdr:row>
      <xdr:rowOff>115661</xdr:rowOff>
    </xdr:from>
    <xdr:to>
      <xdr:col>7</xdr:col>
      <xdr:colOff>685799</xdr:colOff>
      <xdr:row>15</xdr:row>
      <xdr:rowOff>329294</xdr:rowOff>
    </xdr:to>
    <xdr:sp macro="" textlink="">
      <xdr:nvSpPr>
        <xdr:cNvPr id="6" name="Rectangle 15"/>
        <xdr:cNvSpPr>
          <a:spLocks noChangeArrowheads="1"/>
        </xdr:cNvSpPr>
      </xdr:nvSpPr>
      <xdr:spPr bwMode="auto">
        <a:xfrm>
          <a:off x="7301592"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9</xdr:col>
      <xdr:colOff>234043</xdr:colOff>
      <xdr:row>15</xdr:row>
      <xdr:rowOff>115661</xdr:rowOff>
    </xdr:from>
    <xdr:to>
      <xdr:col>9</xdr:col>
      <xdr:colOff>495300</xdr:colOff>
      <xdr:row>15</xdr:row>
      <xdr:rowOff>329294</xdr:rowOff>
    </xdr:to>
    <xdr:sp macro="" textlink="">
      <xdr:nvSpPr>
        <xdr:cNvPr id="7" name="Rectangle 15"/>
        <xdr:cNvSpPr>
          <a:spLocks noChangeArrowheads="1"/>
        </xdr:cNvSpPr>
      </xdr:nvSpPr>
      <xdr:spPr bwMode="auto">
        <a:xfrm>
          <a:off x="8882743"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15</xdr:row>
      <xdr:rowOff>102054</xdr:rowOff>
    </xdr:from>
    <xdr:to>
      <xdr:col>3</xdr:col>
      <xdr:colOff>590549</xdr:colOff>
      <xdr:row>15</xdr:row>
      <xdr:rowOff>315687</xdr:rowOff>
    </xdr:to>
    <xdr:sp macro="" textlink="">
      <xdr:nvSpPr>
        <xdr:cNvPr id="8" name="Rectangle 15"/>
        <xdr:cNvSpPr>
          <a:spLocks noChangeArrowheads="1"/>
        </xdr:cNvSpPr>
      </xdr:nvSpPr>
      <xdr:spPr bwMode="auto">
        <a:xfrm>
          <a:off x="3577317"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47</xdr:row>
      <xdr:rowOff>144402</xdr:rowOff>
    </xdr:from>
    <xdr:to>
      <xdr:col>0</xdr:col>
      <xdr:colOff>201705</xdr:colOff>
      <xdr:row>47</xdr:row>
      <xdr:rowOff>268227</xdr:rowOff>
    </xdr:to>
    <xdr:sp macro="" textlink="">
      <xdr:nvSpPr>
        <xdr:cNvPr id="9" name="Rectangle 16"/>
        <xdr:cNvSpPr>
          <a:spLocks noChangeArrowheads="1"/>
        </xdr:cNvSpPr>
      </xdr:nvSpPr>
      <xdr:spPr bwMode="auto">
        <a:xfrm>
          <a:off x="77880" y="1365085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46</xdr:row>
      <xdr:rowOff>259517</xdr:rowOff>
    </xdr:from>
    <xdr:to>
      <xdr:col>0</xdr:col>
      <xdr:colOff>193912</xdr:colOff>
      <xdr:row>46</xdr:row>
      <xdr:rowOff>383342</xdr:rowOff>
    </xdr:to>
    <xdr:sp macro="" textlink="">
      <xdr:nvSpPr>
        <xdr:cNvPr id="10" name="Rectangle 16"/>
        <xdr:cNvSpPr>
          <a:spLocks noChangeArrowheads="1"/>
        </xdr:cNvSpPr>
      </xdr:nvSpPr>
      <xdr:spPr bwMode="auto">
        <a:xfrm>
          <a:off x="70087" y="1309921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45</xdr:row>
      <xdr:rowOff>219788</xdr:rowOff>
    </xdr:from>
    <xdr:to>
      <xdr:col>0</xdr:col>
      <xdr:colOff>201705</xdr:colOff>
      <xdr:row>45</xdr:row>
      <xdr:rowOff>343613</xdr:rowOff>
    </xdr:to>
    <xdr:sp macro="" textlink="">
      <xdr:nvSpPr>
        <xdr:cNvPr id="11" name="Rectangle 16"/>
        <xdr:cNvSpPr>
          <a:spLocks noChangeArrowheads="1"/>
        </xdr:cNvSpPr>
      </xdr:nvSpPr>
      <xdr:spPr bwMode="auto">
        <a:xfrm>
          <a:off x="77880" y="1240226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2" name="Text Box 11"/>
        <xdr:cNvSpPr txBox="1">
          <a:spLocks noChangeArrowheads="1"/>
        </xdr:cNvSpPr>
      </xdr:nvSpPr>
      <xdr:spPr bwMode="auto">
        <a:xfrm>
          <a:off x="3779555" y="352787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28575</xdr:colOff>
      <xdr:row>1</xdr:row>
      <xdr:rowOff>21167</xdr:rowOff>
    </xdr:from>
    <xdr:ext cx="2133600" cy="7112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7"/>
          <a:ext cx="2133600" cy="7112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9525</xdr:colOff>
      <xdr:row>0</xdr:row>
      <xdr:rowOff>57150</xdr:rowOff>
    </xdr:from>
    <xdr:ext cx="2133600" cy="7112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9525" y="57150"/>
          <a:ext cx="2133600" cy="71120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rabanalr/Documents/SECTUR/Matrices%20de%20evaluaci&#243;n/Cuadernillos%20en%20excel/1.%20DI%20-%20Subsector%20Hospedaje%20-%20SNCT%20observacio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ciones"/>
      <sheetName val="Datos Generales"/>
      <sheetName val="Evaluacion"/>
      <sheetName val="Hoja3"/>
      <sheetName val="Hoja4"/>
      <sheetName val="Hoja2"/>
      <sheetName val="Segunda condicional"/>
      <sheetName val="Marco Legal y Normativo"/>
      <sheetName val="Referentes"/>
      <sheetName val="Calificacion"/>
      <sheetName val="Comentario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zoomScale="70" zoomScaleNormal="70" zoomScalePageLayoutView="70" workbookViewId="0">
      <pane ySplit="1" topLeftCell="A2" activePane="bottomLeft" state="frozen"/>
      <selection pane="bottomLeft" activeCell="A4" sqref="A4:I4"/>
    </sheetView>
  </sheetViews>
  <sheetFormatPr baseColWidth="10" defaultRowHeight="15" x14ac:dyDescent="0.25"/>
  <cols>
    <col min="1" max="1" width="4.42578125" customWidth="1"/>
    <col min="2" max="2" width="11.85546875" customWidth="1"/>
    <col min="7" max="8" width="21.85546875" customWidth="1"/>
    <col min="9" max="9" width="39.85546875" customWidth="1"/>
  </cols>
  <sheetData>
    <row r="1" spans="1:9" ht="95.25" customHeight="1" x14ac:dyDescent="0.25">
      <c r="A1" s="181" t="s">
        <v>206</v>
      </c>
      <c r="B1" s="181"/>
      <c r="C1" s="181"/>
      <c r="D1" s="181"/>
      <c r="E1" s="181"/>
      <c r="F1" s="181"/>
      <c r="G1" s="181"/>
      <c r="H1" s="181"/>
      <c r="I1" s="181"/>
    </row>
    <row r="2" spans="1:9" ht="126" customHeight="1" x14ac:dyDescent="0.25">
      <c r="A2" s="182" t="s">
        <v>487</v>
      </c>
      <c r="B2" s="182"/>
      <c r="C2" s="182"/>
      <c r="D2" s="182"/>
      <c r="E2" s="182"/>
      <c r="F2" s="182"/>
      <c r="G2" s="182"/>
      <c r="H2" s="182"/>
      <c r="I2" s="182"/>
    </row>
    <row r="3" spans="1:9" ht="39.75" customHeight="1" x14ac:dyDescent="0.25">
      <c r="A3" s="183" t="s">
        <v>204</v>
      </c>
      <c r="B3" s="183"/>
      <c r="C3" s="183"/>
      <c r="D3" s="183"/>
      <c r="E3" s="183"/>
      <c r="F3" s="183"/>
      <c r="G3" s="183"/>
      <c r="H3" s="183"/>
      <c r="I3" s="183"/>
    </row>
    <row r="4" spans="1:9" ht="114" customHeight="1" x14ac:dyDescent="0.25">
      <c r="A4" s="182" t="s">
        <v>488</v>
      </c>
      <c r="B4" s="182"/>
      <c r="C4" s="182"/>
      <c r="D4" s="182"/>
      <c r="E4" s="182"/>
      <c r="F4" s="182"/>
      <c r="G4" s="182"/>
      <c r="H4" s="182"/>
      <c r="I4" s="182"/>
    </row>
    <row r="5" spans="1:9" ht="32.25" customHeight="1" x14ac:dyDescent="0.25">
      <c r="A5" s="183" t="s">
        <v>205</v>
      </c>
      <c r="B5" s="183"/>
      <c r="C5" s="183"/>
      <c r="D5" s="183"/>
      <c r="E5" s="183"/>
      <c r="F5" s="183"/>
      <c r="G5" s="183"/>
      <c r="H5" s="183"/>
      <c r="I5" s="183"/>
    </row>
    <row r="6" spans="1:9" ht="15" customHeight="1" x14ac:dyDescent="0.25">
      <c r="A6" s="116"/>
      <c r="B6" s="117" t="s">
        <v>209</v>
      </c>
      <c r="C6" s="118" t="s">
        <v>206</v>
      </c>
      <c r="D6" s="116"/>
      <c r="E6" s="116"/>
      <c r="F6" s="116"/>
      <c r="G6" s="119"/>
      <c r="H6" s="116"/>
      <c r="I6" s="116"/>
    </row>
    <row r="7" spans="1:9" ht="14.25" customHeight="1" x14ac:dyDescent="0.25">
      <c r="A7" s="116"/>
      <c r="B7" s="117" t="s">
        <v>208</v>
      </c>
      <c r="C7" s="118" t="s">
        <v>207</v>
      </c>
      <c r="D7" s="116"/>
      <c r="E7" s="116"/>
      <c r="F7" s="116"/>
      <c r="G7" s="119"/>
      <c r="H7" s="116"/>
      <c r="I7" s="116"/>
    </row>
    <row r="8" spans="1:9" ht="19.5" customHeight="1" x14ac:dyDescent="0.25">
      <c r="A8" s="116"/>
      <c r="B8" s="117"/>
      <c r="C8" s="118"/>
      <c r="D8" s="116"/>
      <c r="E8" s="116"/>
      <c r="F8" s="116"/>
      <c r="G8" s="119"/>
      <c r="H8" s="116"/>
      <c r="I8" s="116"/>
    </row>
    <row r="9" spans="1:9" ht="21.75" customHeight="1" x14ac:dyDescent="0.25">
      <c r="A9" s="179" t="s">
        <v>489</v>
      </c>
      <c r="B9" s="179"/>
      <c r="C9" s="179"/>
      <c r="D9" s="179"/>
      <c r="E9" s="179"/>
      <c r="F9" s="179"/>
      <c r="G9" s="179"/>
      <c r="H9" s="179"/>
      <c r="I9" s="179"/>
    </row>
    <row r="10" spans="1:9" x14ac:dyDescent="0.25">
      <c r="A10" s="180" t="s">
        <v>210</v>
      </c>
      <c r="B10" s="180"/>
      <c r="C10" s="180"/>
      <c r="D10" s="180"/>
      <c r="E10" s="180"/>
      <c r="F10" s="180"/>
      <c r="G10" s="180"/>
      <c r="H10" s="180"/>
      <c r="I10" s="180"/>
    </row>
    <row r="11" spans="1:9" s="19" customFormat="1" x14ac:dyDescent="0.25">
      <c r="A11" s="173" t="s">
        <v>490</v>
      </c>
      <c r="B11" s="174"/>
      <c r="C11" s="173" t="s">
        <v>491</v>
      </c>
      <c r="D11" s="175"/>
      <c r="E11" s="174"/>
      <c r="F11" s="173" t="s">
        <v>492</v>
      </c>
      <c r="G11" s="175"/>
      <c r="H11" s="174"/>
      <c r="I11" s="120" t="s">
        <v>493</v>
      </c>
    </row>
    <row r="12" spans="1:9" ht="32.25" customHeight="1" x14ac:dyDescent="0.25">
      <c r="A12" s="153" t="s">
        <v>8</v>
      </c>
      <c r="B12" s="154"/>
      <c r="C12" s="176" t="s">
        <v>494</v>
      </c>
      <c r="D12" s="177"/>
      <c r="E12" s="178"/>
      <c r="F12" s="316" t="s">
        <v>553</v>
      </c>
      <c r="G12" s="317"/>
      <c r="H12" s="318"/>
      <c r="I12" s="121">
        <v>0</v>
      </c>
    </row>
    <row r="13" spans="1:9" ht="60" customHeight="1" x14ac:dyDescent="0.25">
      <c r="A13" s="153" t="s">
        <v>9</v>
      </c>
      <c r="B13" s="154"/>
      <c r="C13" s="155" t="s">
        <v>495</v>
      </c>
      <c r="D13" s="156"/>
      <c r="E13" s="157"/>
      <c r="F13" s="158" t="s">
        <v>496</v>
      </c>
      <c r="G13" s="159"/>
      <c r="H13" s="160"/>
      <c r="I13" s="121">
        <v>0.1</v>
      </c>
    </row>
    <row r="14" spans="1:9" ht="75" customHeight="1" x14ac:dyDescent="0.25">
      <c r="A14" s="161" t="s">
        <v>10</v>
      </c>
      <c r="B14" s="162"/>
      <c r="C14" s="167" t="s">
        <v>437</v>
      </c>
      <c r="D14" s="168"/>
      <c r="E14" s="169"/>
      <c r="F14" s="170" t="s">
        <v>554</v>
      </c>
      <c r="G14" s="171"/>
      <c r="H14" s="172"/>
      <c r="I14" s="122">
        <v>0.2</v>
      </c>
    </row>
    <row r="15" spans="1:9" ht="57" customHeight="1" x14ac:dyDescent="0.25">
      <c r="A15" s="161" t="s">
        <v>497</v>
      </c>
      <c r="B15" s="162"/>
      <c r="C15" s="163" t="s">
        <v>498</v>
      </c>
      <c r="D15" s="163"/>
      <c r="E15" s="163"/>
      <c r="F15" s="164" t="s">
        <v>555</v>
      </c>
      <c r="G15" s="164"/>
      <c r="H15" s="164"/>
      <c r="I15" s="123">
        <v>0.3</v>
      </c>
    </row>
    <row r="16" spans="1:9" ht="95.25" customHeight="1" x14ac:dyDescent="0.25">
      <c r="A16" s="165" t="s">
        <v>11</v>
      </c>
      <c r="B16" s="165"/>
      <c r="C16" s="166" t="s">
        <v>499</v>
      </c>
      <c r="D16" s="166"/>
      <c r="E16" s="166"/>
      <c r="F16" s="164" t="s">
        <v>556</v>
      </c>
      <c r="G16" s="164"/>
      <c r="H16" s="164"/>
      <c r="I16" s="121">
        <v>0.6</v>
      </c>
    </row>
    <row r="17" spans="1:9" ht="73.5" customHeight="1" x14ac:dyDescent="0.25">
      <c r="A17" s="153" t="s">
        <v>12</v>
      </c>
      <c r="B17" s="154"/>
      <c r="C17" s="155" t="s">
        <v>500</v>
      </c>
      <c r="D17" s="156"/>
      <c r="E17" s="157"/>
      <c r="F17" s="158" t="s">
        <v>557</v>
      </c>
      <c r="G17" s="159"/>
      <c r="H17" s="160"/>
      <c r="I17" s="121">
        <v>1</v>
      </c>
    </row>
  </sheetData>
  <mergeCells count="28">
    <mergeCell ref="A9:I9"/>
    <mergeCell ref="A10:I10"/>
    <mergeCell ref="A1:I1"/>
    <mergeCell ref="A2:I2"/>
    <mergeCell ref="A4:I4"/>
    <mergeCell ref="A3:I3"/>
    <mergeCell ref="A5:I5"/>
    <mergeCell ref="A11:B11"/>
    <mergeCell ref="C11:E11"/>
    <mergeCell ref="F11:H11"/>
    <mergeCell ref="A12:B12"/>
    <mergeCell ref="C12:E12"/>
    <mergeCell ref="F12:H12"/>
    <mergeCell ref="A13:B13"/>
    <mergeCell ref="C13:E13"/>
    <mergeCell ref="F13:H13"/>
    <mergeCell ref="A14:B14"/>
    <mergeCell ref="C14:E14"/>
    <mergeCell ref="F14:H14"/>
    <mergeCell ref="A17:B17"/>
    <mergeCell ref="C17:E17"/>
    <mergeCell ref="F17:H17"/>
    <mergeCell ref="A15:B15"/>
    <mergeCell ref="C15:E15"/>
    <mergeCell ref="F15:H15"/>
    <mergeCell ref="A16:B16"/>
    <mergeCell ref="C16:E16"/>
    <mergeCell ref="F16:H16"/>
  </mergeCells>
  <pageMargins left="0.7" right="0.7" top="0.75" bottom="0.75" header="0.3" footer="0.3"/>
  <pageSetup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90" zoomScaleNormal="90" workbookViewId="0">
      <pane ySplit="2" topLeftCell="A9" activePane="bottomLeft" state="frozen"/>
      <selection pane="bottomLeft" activeCell="A3" sqref="A3:C3"/>
    </sheetView>
  </sheetViews>
  <sheetFormatPr baseColWidth="10" defaultRowHeight="15.75" x14ac:dyDescent="0.25"/>
  <cols>
    <col min="1" max="1" width="4.7109375" style="29" customWidth="1"/>
    <col min="2" max="2" width="114.140625" style="29" customWidth="1"/>
    <col min="3" max="3" width="8.7109375" style="29" customWidth="1"/>
    <col min="4" max="11" width="11.42578125" style="17"/>
  </cols>
  <sheetData>
    <row r="1" spans="1:11" ht="77.25" customHeight="1" x14ac:dyDescent="0.25">
      <c r="A1" s="292" t="s">
        <v>213</v>
      </c>
      <c r="B1" s="293"/>
      <c r="C1" s="293"/>
    </row>
    <row r="2" spans="1:11" s="19" customFormat="1" ht="30" customHeight="1" x14ac:dyDescent="0.25">
      <c r="A2" s="303" t="s">
        <v>214</v>
      </c>
      <c r="B2" s="312"/>
      <c r="C2" s="304"/>
      <c r="D2" s="18"/>
      <c r="E2" s="18"/>
      <c r="F2" s="18"/>
      <c r="G2" s="18"/>
      <c r="H2" s="18"/>
      <c r="I2" s="18"/>
      <c r="J2" s="18"/>
      <c r="K2" s="18"/>
    </row>
    <row r="3" spans="1:11" ht="258" customHeight="1" x14ac:dyDescent="0.25">
      <c r="A3" s="313"/>
      <c r="B3" s="314"/>
      <c r="C3" s="315"/>
    </row>
    <row r="4" spans="1:11" ht="30" customHeight="1" x14ac:dyDescent="0.25">
      <c r="A4" s="303" t="s">
        <v>306</v>
      </c>
      <c r="B4" s="312"/>
      <c r="C4" s="304"/>
    </row>
    <row r="5" spans="1:11" ht="258" customHeight="1" x14ac:dyDescent="0.25">
      <c r="A5" s="313"/>
      <c r="B5" s="314"/>
      <c r="C5" s="315"/>
      <c r="G5"/>
      <c r="H5"/>
      <c r="I5"/>
      <c r="J5"/>
      <c r="K5"/>
    </row>
    <row r="6" spans="1:11" x14ac:dyDescent="0.25">
      <c r="A6" s="17"/>
      <c r="B6" s="17"/>
      <c r="C6" s="17"/>
      <c r="G6"/>
      <c r="H6"/>
      <c r="I6"/>
      <c r="J6"/>
      <c r="K6"/>
    </row>
    <row r="7" spans="1:11" x14ac:dyDescent="0.25">
      <c r="A7" s="17"/>
      <c r="B7" s="17"/>
      <c r="C7" s="17"/>
      <c r="G7"/>
      <c r="H7"/>
      <c r="I7"/>
      <c r="J7"/>
      <c r="K7"/>
    </row>
    <row r="8" spans="1:11" x14ac:dyDescent="0.25">
      <c r="A8" s="17"/>
      <c r="B8" s="17"/>
      <c r="C8" s="17"/>
      <c r="G8"/>
      <c r="H8"/>
      <c r="I8"/>
      <c r="J8"/>
      <c r="K8"/>
    </row>
    <row r="9" spans="1:11" x14ac:dyDescent="0.25">
      <c r="A9" s="17"/>
      <c r="B9" s="17"/>
      <c r="C9" s="17"/>
      <c r="G9"/>
      <c r="H9"/>
      <c r="I9"/>
      <c r="J9"/>
      <c r="K9"/>
    </row>
    <row r="10" spans="1:11" x14ac:dyDescent="0.25">
      <c r="A10" s="17"/>
      <c r="B10" s="17"/>
      <c r="C10" s="17"/>
      <c r="G10"/>
      <c r="H10"/>
      <c r="I10"/>
      <c r="J10"/>
      <c r="K10"/>
    </row>
    <row r="11" spans="1:11" x14ac:dyDescent="0.25">
      <c r="C11" s="25"/>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70" zoomScaleNormal="70" workbookViewId="0">
      <pane ySplit="4" topLeftCell="A32" activePane="bottomLeft" state="frozen"/>
      <selection pane="bottomLeft" activeCell="C7" sqref="C7:J7"/>
    </sheetView>
  </sheetViews>
  <sheetFormatPr baseColWidth="10" defaultRowHeight="15.75" x14ac:dyDescent="0.25"/>
  <cols>
    <col min="1" max="1" width="4.5703125" style="29" customWidth="1"/>
    <col min="2" max="2" width="30.85546875" style="29" customWidth="1"/>
    <col min="3" max="3" width="13.28515625" style="9" customWidth="1"/>
    <col min="4" max="4" width="14.5703125" style="9" customWidth="1"/>
    <col min="5" max="7" width="13.28515625" style="10" customWidth="1"/>
    <col min="8" max="9" width="13.28515625" style="11" customWidth="1"/>
    <col min="10" max="10" width="13.28515625" style="1" customWidth="1"/>
    <col min="11" max="13" width="11.42578125" style="1"/>
  </cols>
  <sheetData>
    <row r="1" spans="1:13" ht="94.5" customHeight="1" x14ac:dyDescent="0.25">
      <c r="A1" s="221" t="s">
        <v>501</v>
      </c>
      <c r="B1" s="221"/>
      <c r="C1" s="221"/>
      <c r="D1" s="221"/>
      <c r="E1" s="221"/>
      <c r="F1" s="221"/>
      <c r="G1" s="221"/>
      <c r="H1" s="221"/>
      <c r="I1" s="221"/>
      <c r="J1" s="221"/>
    </row>
    <row r="2" spans="1:13" s="126" customFormat="1" ht="129.75" customHeight="1" x14ac:dyDescent="0.25">
      <c r="A2" s="222" t="s">
        <v>502</v>
      </c>
      <c r="B2" s="222"/>
      <c r="C2" s="222"/>
      <c r="D2" s="222"/>
      <c r="E2" s="222"/>
      <c r="F2" s="222"/>
      <c r="G2" s="222"/>
      <c r="H2" s="222"/>
      <c r="I2" s="222"/>
      <c r="J2" s="222"/>
      <c r="K2" s="125"/>
      <c r="L2" s="125"/>
      <c r="M2" s="125"/>
    </row>
    <row r="3" spans="1:13" s="126" customFormat="1" x14ac:dyDescent="0.25">
      <c r="A3" s="223"/>
      <c r="B3" s="223"/>
      <c r="C3" s="223"/>
      <c r="D3" s="223"/>
      <c r="E3" s="223"/>
      <c r="F3" s="223"/>
      <c r="G3" s="223"/>
      <c r="H3" s="223"/>
      <c r="I3" s="223"/>
      <c r="J3" s="223"/>
      <c r="K3" s="125"/>
      <c r="L3" s="125"/>
      <c r="M3" s="125"/>
    </row>
    <row r="4" spans="1:13" s="126" customFormat="1" ht="16.5" customHeight="1" x14ac:dyDescent="0.25">
      <c r="A4" s="224" t="s">
        <v>503</v>
      </c>
      <c r="B4" s="224"/>
      <c r="C4" s="224"/>
      <c r="D4" s="224"/>
      <c r="E4" s="224"/>
      <c r="F4" s="224"/>
      <c r="G4" s="224"/>
      <c r="H4" s="224"/>
      <c r="I4" s="224"/>
      <c r="J4" s="224"/>
      <c r="K4" s="125"/>
      <c r="L4" s="125"/>
      <c r="M4" s="125"/>
    </row>
    <row r="5" spans="1:13" s="126" customFormat="1" ht="15" customHeight="1" x14ac:dyDescent="0.25">
      <c r="A5" s="225" t="s">
        <v>504</v>
      </c>
      <c r="B5" s="225"/>
      <c r="C5" s="212"/>
      <c r="D5" s="212"/>
      <c r="E5" s="226" t="s">
        <v>505</v>
      </c>
      <c r="F5" s="226"/>
      <c r="G5" s="226"/>
      <c r="H5" s="227"/>
      <c r="I5" s="227"/>
      <c r="J5" s="227"/>
      <c r="K5" s="125"/>
      <c r="L5" s="125"/>
      <c r="M5" s="125"/>
    </row>
    <row r="6" spans="1:13" s="115" customFormat="1" ht="31.5" customHeight="1" x14ac:dyDescent="0.25">
      <c r="A6" s="216" t="s">
        <v>506</v>
      </c>
      <c r="B6" s="216"/>
      <c r="C6" s="220" t="s">
        <v>507</v>
      </c>
      <c r="D6" s="220"/>
      <c r="E6" s="220"/>
      <c r="F6" s="220"/>
      <c r="G6" s="196" t="s">
        <v>508</v>
      </c>
      <c r="H6" s="196"/>
      <c r="I6" s="196"/>
      <c r="J6" s="196"/>
      <c r="K6" s="124"/>
      <c r="L6" s="124"/>
      <c r="M6" s="124"/>
    </row>
    <row r="7" spans="1:13" s="115" customFormat="1" x14ac:dyDescent="0.25">
      <c r="A7" s="216" t="s">
        <v>509</v>
      </c>
      <c r="B7" s="216"/>
      <c r="C7" s="219"/>
      <c r="D7" s="219"/>
      <c r="E7" s="219"/>
      <c r="F7" s="219"/>
      <c r="G7" s="219"/>
      <c r="H7" s="219"/>
      <c r="I7" s="219"/>
      <c r="J7" s="219"/>
      <c r="K7" s="124"/>
      <c r="L7" s="124"/>
      <c r="M7" s="124"/>
    </row>
    <row r="8" spans="1:13" s="115" customFormat="1" ht="15" customHeight="1" x14ac:dyDescent="0.25">
      <c r="A8" s="216" t="s">
        <v>510</v>
      </c>
      <c r="B8" s="216"/>
      <c r="C8" s="212"/>
      <c r="D8" s="212"/>
      <c r="E8" s="212"/>
      <c r="F8" s="212"/>
      <c r="G8" s="212"/>
      <c r="H8" s="212"/>
      <c r="I8" s="212"/>
      <c r="J8" s="212"/>
      <c r="K8" s="124"/>
      <c r="L8" s="124"/>
      <c r="M8" s="124"/>
    </row>
    <row r="9" spans="1:13" s="115" customFormat="1" ht="15.75" customHeight="1" x14ac:dyDescent="0.25">
      <c r="A9" s="129" t="s">
        <v>511</v>
      </c>
      <c r="B9" s="130"/>
      <c r="C9" s="212"/>
      <c r="D9" s="212"/>
      <c r="E9" s="212"/>
      <c r="F9" s="212"/>
      <c r="G9" s="212"/>
      <c r="H9" s="212"/>
      <c r="I9" s="212"/>
      <c r="J9" s="212"/>
      <c r="K9" s="124"/>
      <c r="L9" s="124"/>
      <c r="M9" s="124"/>
    </row>
    <row r="10" spans="1:13" s="115" customFormat="1" ht="15.75" customHeight="1" x14ac:dyDescent="0.25">
      <c r="A10" s="216" t="s">
        <v>512</v>
      </c>
      <c r="B10" s="216"/>
      <c r="C10" s="212"/>
      <c r="D10" s="212"/>
      <c r="E10" s="212"/>
      <c r="F10" s="212"/>
      <c r="G10" s="212"/>
      <c r="H10" s="212"/>
      <c r="I10" s="212"/>
      <c r="J10" s="212"/>
      <c r="K10" s="124"/>
      <c r="L10" s="124"/>
      <c r="M10" s="124"/>
    </row>
    <row r="11" spans="1:13" s="115" customFormat="1" ht="15.75" customHeight="1" x14ac:dyDescent="0.25">
      <c r="A11" s="216" t="s">
        <v>513</v>
      </c>
      <c r="B11" s="216"/>
      <c r="C11" s="212"/>
      <c r="D11" s="212"/>
      <c r="E11" s="212"/>
      <c r="F11" s="212"/>
      <c r="G11" s="212"/>
      <c r="H11" s="212"/>
      <c r="I11" s="212"/>
      <c r="J11" s="212"/>
      <c r="K11" s="124"/>
      <c r="L11" s="124"/>
      <c r="M11" s="124"/>
    </row>
    <row r="12" spans="1:13" s="115" customFormat="1" ht="15.75" customHeight="1" x14ac:dyDescent="0.25">
      <c r="A12" s="216" t="s">
        <v>301</v>
      </c>
      <c r="B12" s="216"/>
      <c r="C12" s="212"/>
      <c r="D12" s="212"/>
      <c r="E12" s="212"/>
      <c r="F12" s="212"/>
      <c r="G12" s="212"/>
      <c r="H12" s="212"/>
      <c r="I12" s="212"/>
      <c r="J12" s="212"/>
      <c r="K12" s="124"/>
      <c r="L12" s="124"/>
      <c r="M12" s="124"/>
    </row>
    <row r="13" spans="1:13" s="115" customFormat="1" ht="15.75" customHeight="1" x14ac:dyDescent="0.25">
      <c r="A13" s="216" t="s">
        <v>514</v>
      </c>
      <c r="B13" s="216"/>
      <c r="C13" s="212"/>
      <c r="D13" s="212"/>
      <c r="E13" s="212"/>
      <c r="F13" s="212"/>
      <c r="G13" s="212"/>
      <c r="H13" s="212"/>
      <c r="I13" s="212"/>
      <c r="J13" s="212"/>
      <c r="K13" s="124"/>
      <c r="L13" s="124"/>
      <c r="M13" s="124"/>
    </row>
    <row r="14" spans="1:13" s="115" customFormat="1" ht="15.75" customHeight="1" x14ac:dyDescent="0.25">
      <c r="A14" s="216" t="s">
        <v>515</v>
      </c>
      <c r="B14" s="216"/>
      <c r="C14" s="212"/>
      <c r="D14" s="212"/>
      <c r="E14" s="212"/>
      <c r="F14" s="212"/>
      <c r="G14" s="212"/>
      <c r="H14" s="212"/>
      <c r="I14" s="212"/>
      <c r="J14" s="212"/>
      <c r="K14" s="124"/>
      <c r="L14" s="124"/>
      <c r="M14" s="124"/>
    </row>
    <row r="15" spans="1:13" s="115" customFormat="1" ht="15.75" customHeight="1" x14ac:dyDescent="0.25">
      <c r="A15" s="216" t="s">
        <v>516</v>
      </c>
      <c r="B15" s="216"/>
      <c r="C15" s="212"/>
      <c r="D15" s="212"/>
      <c r="E15" s="212"/>
      <c r="F15" s="212"/>
      <c r="G15" s="212"/>
      <c r="H15" s="212"/>
      <c r="I15" s="212"/>
      <c r="J15" s="212"/>
      <c r="K15" s="124"/>
      <c r="L15" s="124"/>
      <c r="M15" s="124"/>
    </row>
    <row r="16" spans="1:13" s="115" customFormat="1" ht="33" customHeight="1" x14ac:dyDescent="0.25">
      <c r="A16" s="218" t="s">
        <v>517</v>
      </c>
      <c r="B16" s="218"/>
      <c r="C16" s="131" t="s">
        <v>518</v>
      </c>
      <c r="D16" s="131"/>
      <c r="E16" s="132" t="s">
        <v>519</v>
      </c>
      <c r="F16" s="133"/>
      <c r="G16" s="131" t="s">
        <v>520</v>
      </c>
      <c r="H16" s="133"/>
      <c r="I16" s="132" t="s">
        <v>521</v>
      </c>
      <c r="J16" s="134"/>
      <c r="L16" s="135"/>
      <c r="M16" s="124"/>
    </row>
    <row r="17" spans="1:13" s="115" customFormat="1" ht="15.75" customHeight="1" x14ac:dyDescent="0.25">
      <c r="A17" s="206"/>
      <c r="B17" s="206"/>
      <c r="C17" s="206"/>
      <c r="D17" s="206"/>
      <c r="E17" s="206"/>
      <c r="F17" s="206"/>
      <c r="G17" s="206"/>
      <c r="H17" s="206"/>
      <c r="I17" s="206"/>
      <c r="J17" s="206"/>
      <c r="K17" s="124"/>
      <c r="L17" s="124"/>
      <c r="M17" s="124"/>
    </row>
    <row r="18" spans="1:13" s="115" customFormat="1" ht="31.5" customHeight="1" x14ac:dyDescent="0.25">
      <c r="A18" s="207" t="s">
        <v>522</v>
      </c>
      <c r="B18" s="207"/>
      <c r="C18" s="136" t="s">
        <v>523</v>
      </c>
      <c r="D18" s="137"/>
      <c r="E18" s="131" t="s">
        <v>524</v>
      </c>
      <c r="F18" s="138"/>
      <c r="G18" s="208" t="s">
        <v>525</v>
      </c>
      <c r="H18" s="209"/>
      <c r="I18" s="210"/>
      <c r="J18" s="132"/>
      <c r="K18" s="124"/>
      <c r="L18" s="124"/>
      <c r="M18" s="124"/>
    </row>
    <row r="19" spans="1:13" s="115" customFormat="1" ht="15.75" customHeight="1" x14ac:dyDescent="0.25">
      <c r="A19" s="211" t="s">
        <v>526</v>
      </c>
      <c r="B19" s="211"/>
      <c r="C19" s="216" t="s">
        <v>527</v>
      </c>
      <c r="D19" s="216"/>
      <c r="E19" s="212"/>
      <c r="F19" s="212"/>
      <c r="G19" s="212"/>
      <c r="H19" s="212"/>
      <c r="I19" s="212"/>
      <c r="J19" s="212"/>
      <c r="K19" s="124"/>
      <c r="L19" s="124"/>
      <c r="M19" s="124"/>
    </row>
    <row r="20" spans="1:13" s="115" customFormat="1" ht="16.5" x14ac:dyDescent="0.25">
      <c r="A20" s="211"/>
      <c r="B20" s="211"/>
      <c r="C20" s="216" t="s">
        <v>528</v>
      </c>
      <c r="D20" s="216"/>
      <c r="E20" s="213"/>
      <c r="F20" s="213"/>
      <c r="G20" s="213"/>
      <c r="H20" s="213"/>
      <c r="I20" s="213"/>
      <c r="J20" s="213"/>
      <c r="K20" s="124"/>
      <c r="L20" s="124"/>
      <c r="M20" s="124"/>
    </row>
    <row r="21" spans="1:13" s="115" customFormat="1" ht="15.75" customHeight="1" x14ac:dyDescent="0.25">
      <c r="A21" s="211"/>
      <c r="B21" s="211"/>
      <c r="C21" s="216" t="s">
        <v>529</v>
      </c>
      <c r="D21" s="216"/>
      <c r="E21" s="214"/>
      <c r="F21" s="214"/>
      <c r="G21" s="214"/>
      <c r="H21" s="214"/>
      <c r="I21" s="214"/>
      <c r="J21" s="214"/>
      <c r="K21" s="124"/>
      <c r="L21" s="124"/>
      <c r="M21" s="124"/>
    </row>
    <row r="22" spans="1:13" s="115" customFormat="1" ht="15.75" customHeight="1" x14ac:dyDescent="0.25">
      <c r="A22" s="211"/>
      <c r="B22" s="211"/>
      <c r="C22" s="216" t="s">
        <v>530</v>
      </c>
      <c r="D22" s="216"/>
      <c r="E22" s="215"/>
      <c r="F22" s="215"/>
      <c r="G22" s="215"/>
      <c r="H22" s="215"/>
      <c r="I22" s="215"/>
      <c r="J22" s="215"/>
      <c r="K22" s="124"/>
      <c r="L22" s="124"/>
      <c r="M22" s="124"/>
    </row>
    <row r="23" spans="1:13" s="115" customFormat="1" x14ac:dyDescent="0.25">
      <c r="A23" s="211"/>
      <c r="B23" s="211"/>
      <c r="C23" s="216" t="s">
        <v>531</v>
      </c>
      <c r="D23" s="216"/>
      <c r="E23" s="217"/>
      <c r="F23" s="217"/>
      <c r="G23" s="217"/>
      <c r="H23" s="217"/>
      <c r="I23" s="217"/>
      <c r="J23" s="217"/>
      <c r="K23" s="124"/>
      <c r="L23" s="124"/>
      <c r="M23" s="124"/>
    </row>
    <row r="24" spans="1:13" s="115" customFormat="1" ht="15.75" customHeight="1" x14ac:dyDescent="0.25">
      <c r="A24" s="211"/>
      <c r="B24" s="211"/>
      <c r="C24" s="129" t="s">
        <v>532</v>
      </c>
      <c r="D24" s="129"/>
      <c r="E24" s="215"/>
      <c r="F24" s="215"/>
      <c r="G24" s="215"/>
      <c r="H24" s="215"/>
      <c r="I24" s="215"/>
      <c r="J24" s="215"/>
      <c r="K24" s="124"/>
      <c r="L24" s="124"/>
      <c r="M24" s="124"/>
    </row>
    <row r="25" spans="1:13" s="115" customFormat="1" ht="16.5" x14ac:dyDescent="0.25">
      <c r="A25" s="189" t="s">
        <v>533</v>
      </c>
      <c r="B25" s="189"/>
      <c r="C25" s="189"/>
      <c r="D25" s="189"/>
      <c r="E25" s="189"/>
      <c r="F25" s="189"/>
      <c r="G25" s="189"/>
      <c r="H25" s="189"/>
      <c r="I25" s="189"/>
      <c r="J25" s="189"/>
      <c r="K25" s="124"/>
      <c r="L25" s="124"/>
      <c r="M25" s="124"/>
    </row>
    <row r="26" spans="1:13" s="128" customFormat="1" ht="15" customHeight="1" x14ac:dyDescent="0.25">
      <c r="A26" s="184" t="s">
        <v>534</v>
      </c>
      <c r="B26" s="184"/>
      <c r="C26" s="203"/>
      <c r="D26" s="204"/>
      <c r="E26" s="204"/>
      <c r="F26" s="204"/>
      <c r="G26" s="204"/>
      <c r="H26" s="204"/>
      <c r="I26" s="204"/>
      <c r="J26" s="205"/>
      <c r="K26" s="127"/>
      <c r="L26" s="127"/>
      <c r="M26" s="127"/>
    </row>
    <row r="27" spans="1:13" s="128" customFormat="1" ht="15" customHeight="1" x14ac:dyDescent="0.2">
      <c r="A27" s="184" t="s">
        <v>535</v>
      </c>
      <c r="B27" s="184"/>
      <c r="C27" s="200"/>
      <c r="D27" s="201"/>
      <c r="E27" s="201"/>
      <c r="F27" s="201"/>
      <c r="G27" s="201"/>
      <c r="H27" s="201"/>
      <c r="I27" s="201"/>
      <c r="J27" s="202"/>
      <c r="K27" s="127"/>
      <c r="L27" s="127"/>
      <c r="M27" s="127"/>
    </row>
    <row r="28" spans="1:13" s="128" customFormat="1" ht="16.5" x14ac:dyDescent="0.2">
      <c r="A28" s="184" t="s">
        <v>301</v>
      </c>
      <c r="B28" s="184"/>
      <c r="C28" s="200"/>
      <c r="D28" s="201"/>
      <c r="E28" s="201"/>
      <c r="F28" s="201"/>
      <c r="G28" s="201"/>
      <c r="H28" s="201"/>
      <c r="I28" s="201"/>
      <c r="J28" s="202"/>
      <c r="K28" s="127"/>
      <c r="L28" s="127"/>
      <c r="M28" s="127"/>
    </row>
    <row r="29" spans="1:13" s="128" customFormat="1" ht="14.25" customHeight="1" x14ac:dyDescent="0.2">
      <c r="A29" s="184" t="s">
        <v>536</v>
      </c>
      <c r="B29" s="184"/>
      <c r="C29" s="200"/>
      <c r="D29" s="201"/>
      <c r="E29" s="201"/>
      <c r="F29" s="201"/>
      <c r="G29" s="201"/>
      <c r="H29" s="201"/>
      <c r="I29" s="201"/>
      <c r="J29" s="202"/>
      <c r="K29" s="127"/>
      <c r="L29" s="127"/>
      <c r="M29" s="127"/>
    </row>
    <row r="30" spans="1:13" s="128" customFormat="1" ht="14.25" customHeight="1" x14ac:dyDescent="0.2">
      <c r="A30" s="184" t="s">
        <v>516</v>
      </c>
      <c r="B30" s="184"/>
      <c r="C30" s="197"/>
      <c r="D30" s="198"/>
      <c r="E30" s="198"/>
      <c r="F30" s="198"/>
      <c r="G30" s="198"/>
      <c r="H30" s="198"/>
      <c r="I30" s="198"/>
      <c r="J30" s="199"/>
      <c r="K30" s="127"/>
      <c r="L30" s="127"/>
      <c r="M30" s="127"/>
    </row>
    <row r="31" spans="1:13" s="128" customFormat="1" ht="14.25" customHeight="1" x14ac:dyDescent="0.2">
      <c r="A31" s="184" t="s">
        <v>537</v>
      </c>
      <c r="B31" s="184"/>
      <c r="C31" s="197"/>
      <c r="D31" s="198"/>
      <c r="E31" s="198"/>
      <c r="F31" s="198"/>
      <c r="G31" s="198"/>
      <c r="H31" s="198"/>
      <c r="I31" s="198"/>
      <c r="J31" s="199"/>
      <c r="K31" s="127"/>
      <c r="L31" s="127"/>
      <c r="M31" s="127"/>
    </row>
    <row r="32" spans="1:13" s="128" customFormat="1" ht="14.25" customHeight="1" x14ac:dyDescent="0.2">
      <c r="A32" s="184" t="s">
        <v>538</v>
      </c>
      <c r="B32" s="184"/>
      <c r="C32" s="197"/>
      <c r="D32" s="198"/>
      <c r="E32" s="198"/>
      <c r="F32" s="198"/>
      <c r="G32" s="198"/>
      <c r="H32" s="198"/>
      <c r="I32" s="198"/>
      <c r="J32" s="199"/>
      <c r="K32" s="127"/>
      <c r="L32" s="127"/>
      <c r="M32" s="127"/>
    </row>
    <row r="33" spans="1:13" s="128" customFormat="1" ht="15.75" customHeight="1" x14ac:dyDescent="0.2">
      <c r="A33" s="189" t="s">
        <v>184</v>
      </c>
      <c r="B33" s="189"/>
      <c r="C33" s="189"/>
      <c r="D33" s="189"/>
      <c r="E33" s="189"/>
      <c r="F33" s="189"/>
      <c r="G33" s="189"/>
      <c r="H33" s="189"/>
      <c r="I33" s="189"/>
      <c r="J33" s="189"/>
      <c r="K33" s="127"/>
      <c r="L33" s="127"/>
      <c r="M33" s="127"/>
    </row>
    <row r="34" spans="1:13" s="128" customFormat="1" ht="16.5" x14ac:dyDescent="0.2">
      <c r="A34" s="190" t="s">
        <v>539</v>
      </c>
      <c r="B34" s="189"/>
      <c r="C34" s="189"/>
      <c r="D34" s="189"/>
      <c r="E34" s="191"/>
      <c r="F34" s="195" t="s">
        <v>185</v>
      </c>
      <c r="G34" s="195"/>
      <c r="H34" s="195"/>
      <c r="I34" s="190" t="s">
        <v>13</v>
      </c>
      <c r="J34" s="191"/>
      <c r="K34" s="127"/>
      <c r="L34" s="127"/>
      <c r="M34" s="127"/>
    </row>
    <row r="35" spans="1:13" s="128" customFormat="1" ht="15.75" customHeight="1" x14ac:dyDescent="0.2">
      <c r="A35" s="192"/>
      <c r="B35" s="193"/>
      <c r="C35" s="193"/>
      <c r="D35" s="193"/>
      <c r="E35" s="194"/>
      <c r="F35" s="139" t="s">
        <v>182</v>
      </c>
      <c r="G35" s="140" t="s">
        <v>183</v>
      </c>
      <c r="H35" s="139" t="s">
        <v>540</v>
      </c>
      <c r="I35" s="192"/>
      <c r="J35" s="194"/>
      <c r="K35" s="127"/>
      <c r="L35" s="127"/>
      <c r="M35" s="127"/>
    </row>
    <row r="36" spans="1:13" s="128" customFormat="1" ht="15.75" customHeight="1" x14ac:dyDescent="0.25">
      <c r="A36" s="196" t="s">
        <v>302</v>
      </c>
      <c r="B36" s="196"/>
      <c r="C36" s="196"/>
      <c r="D36" s="196"/>
      <c r="E36" s="196"/>
      <c r="F36" s="141"/>
      <c r="G36" s="141"/>
      <c r="H36" s="142"/>
      <c r="I36" s="142"/>
      <c r="J36" s="142"/>
      <c r="K36" s="127"/>
      <c r="L36" s="127"/>
      <c r="M36" s="127"/>
    </row>
    <row r="37" spans="1:13" s="128" customFormat="1" ht="15.75" customHeight="1" x14ac:dyDescent="0.25">
      <c r="A37" s="196" t="s">
        <v>541</v>
      </c>
      <c r="B37" s="196"/>
      <c r="C37" s="196"/>
      <c r="D37" s="196"/>
      <c r="E37" s="196"/>
      <c r="F37" s="143"/>
      <c r="G37" s="143"/>
      <c r="H37" s="143"/>
      <c r="I37" s="143"/>
      <c r="J37" s="142"/>
      <c r="K37" s="127"/>
      <c r="L37" s="127"/>
      <c r="M37" s="127"/>
    </row>
    <row r="38" spans="1:13" s="128" customFormat="1" x14ac:dyDescent="0.25">
      <c r="A38" s="184" t="s">
        <v>303</v>
      </c>
      <c r="B38" s="184"/>
      <c r="C38" s="184"/>
      <c r="D38" s="184"/>
      <c r="E38" s="184"/>
      <c r="F38" s="141"/>
      <c r="G38" s="141"/>
      <c r="H38" s="142"/>
      <c r="I38" s="142"/>
      <c r="J38" s="142"/>
      <c r="K38" s="127"/>
      <c r="L38" s="127"/>
      <c r="M38" s="127"/>
    </row>
    <row r="39" spans="1:13" s="128" customFormat="1" ht="15.75" customHeight="1" x14ac:dyDescent="0.25">
      <c r="A39" s="184" t="s">
        <v>304</v>
      </c>
      <c r="B39" s="184"/>
      <c r="C39" s="184"/>
      <c r="D39" s="184"/>
      <c r="E39" s="184"/>
      <c r="F39" s="143"/>
      <c r="G39" s="143"/>
      <c r="H39" s="143"/>
      <c r="I39" s="143"/>
      <c r="J39" s="142"/>
      <c r="K39" s="127"/>
      <c r="L39" s="127"/>
      <c r="M39" s="127"/>
    </row>
    <row r="40" spans="1:13" s="128" customFormat="1" ht="15.75" customHeight="1" x14ac:dyDescent="0.25">
      <c r="A40" s="184" t="s">
        <v>542</v>
      </c>
      <c r="B40" s="184"/>
      <c r="C40" s="184"/>
      <c r="D40" s="184"/>
      <c r="E40" s="184"/>
      <c r="F40" s="141"/>
      <c r="G40" s="141"/>
      <c r="H40" s="142"/>
      <c r="I40" s="142"/>
      <c r="J40" s="142"/>
      <c r="K40" s="127"/>
      <c r="L40" s="127"/>
      <c r="M40" s="127"/>
    </row>
    <row r="41" spans="1:13" s="128" customFormat="1" ht="15.75" customHeight="1" x14ac:dyDescent="0.25">
      <c r="A41" s="184" t="s">
        <v>305</v>
      </c>
      <c r="B41" s="184"/>
      <c r="C41" s="184"/>
      <c r="D41" s="184"/>
      <c r="E41" s="184"/>
      <c r="F41" s="141"/>
      <c r="G41" s="141"/>
      <c r="H41" s="142"/>
      <c r="I41" s="142"/>
      <c r="J41" s="142"/>
      <c r="K41" s="127"/>
      <c r="L41" s="127"/>
      <c r="M41" s="127"/>
    </row>
    <row r="42" spans="1:13" s="128" customFormat="1" ht="15.75" customHeight="1" x14ac:dyDescent="0.25">
      <c r="A42" s="184" t="s">
        <v>543</v>
      </c>
      <c r="B42" s="184"/>
      <c r="C42" s="184"/>
      <c r="D42" s="184"/>
      <c r="E42" s="184"/>
      <c r="F42" s="141"/>
      <c r="G42" s="141"/>
      <c r="H42" s="142"/>
      <c r="I42" s="142"/>
      <c r="J42" s="142"/>
      <c r="K42" s="127"/>
      <c r="L42" s="127"/>
      <c r="M42" s="127"/>
    </row>
    <row r="43" spans="1:13" s="128" customFormat="1" ht="33" customHeight="1" x14ac:dyDescent="0.25">
      <c r="A43" s="184" t="s">
        <v>544</v>
      </c>
      <c r="B43" s="184"/>
      <c r="C43" s="184"/>
      <c r="D43" s="184"/>
      <c r="E43" s="184"/>
      <c r="F43" s="141"/>
      <c r="G43" s="141"/>
      <c r="H43" s="142"/>
      <c r="I43" s="142"/>
      <c r="J43" s="142"/>
      <c r="K43" s="127"/>
      <c r="L43" s="127"/>
      <c r="M43" s="127"/>
    </row>
    <row r="44" spans="1:13" s="128" customFormat="1" ht="15" customHeight="1" x14ac:dyDescent="0.25">
      <c r="A44" s="184" t="s">
        <v>545</v>
      </c>
      <c r="B44" s="184"/>
      <c r="C44" s="184"/>
      <c r="D44" s="184"/>
      <c r="E44" s="184"/>
      <c r="F44" s="141"/>
      <c r="G44" s="141"/>
      <c r="H44" s="142"/>
      <c r="I44" s="142"/>
      <c r="J44" s="142"/>
      <c r="K44" s="127"/>
      <c r="L44" s="127"/>
      <c r="M44" s="127"/>
    </row>
    <row r="45" spans="1:13" s="128" customFormat="1" ht="13.5" customHeight="1" x14ac:dyDescent="0.2">
      <c r="A45" s="189"/>
      <c r="B45" s="189"/>
      <c r="C45" s="189"/>
      <c r="D45" s="189"/>
      <c r="E45" s="189"/>
      <c r="F45" s="189"/>
      <c r="G45" s="189"/>
      <c r="H45" s="189"/>
      <c r="I45" s="189"/>
      <c r="J45" s="189"/>
      <c r="K45" s="127"/>
      <c r="L45" s="127"/>
      <c r="M45" s="127"/>
    </row>
    <row r="46" spans="1:13" s="128" customFormat="1" ht="51.75" customHeight="1" x14ac:dyDescent="0.25">
      <c r="A46" s="142"/>
      <c r="B46" s="184" t="s">
        <v>546</v>
      </c>
      <c r="C46" s="184"/>
      <c r="D46" s="184"/>
      <c r="E46" s="184"/>
      <c r="F46" s="184"/>
      <c r="G46" s="184"/>
      <c r="H46" s="184"/>
      <c r="I46" s="184"/>
      <c r="J46" s="184"/>
      <c r="K46" s="127"/>
      <c r="L46" s="127"/>
      <c r="M46" s="127"/>
    </row>
    <row r="47" spans="1:13" s="128" customFormat="1" ht="52.5" customHeight="1" x14ac:dyDescent="0.25">
      <c r="A47" s="142"/>
      <c r="B47" s="184" t="s">
        <v>547</v>
      </c>
      <c r="C47" s="184"/>
      <c r="D47" s="184"/>
      <c r="E47" s="184"/>
      <c r="F47" s="184"/>
      <c r="G47" s="184"/>
      <c r="H47" s="184"/>
      <c r="I47" s="184"/>
      <c r="J47" s="184"/>
      <c r="K47" s="127"/>
      <c r="L47" s="127"/>
      <c r="M47" s="127"/>
    </row>
    <row r="48" spans="1:13" s="128" customFormat="1" ht="33.75" customHeight="1" x14ac:dyDescent="0.25">
      <c r="A48" s="142"/>
      <c r="B48" s="184" t="s">
        <v>548</v>
      </c>
      <c r="C48" s="184"/>
      <c r="D48" s="184"/>
      <c r="E48" s="184"/>
      <c r="F48" s="184"/>
      <c r="G48" s="184"/>
      <c r="H48" s="184"/>
      <c r="I48" s="184"/>
      <c r="J48" s="184"/>
      <c r="K48" s="127"/>
      <c r="L48" s="127"/>
      <c r="M48" s="127"/>
    </row>
    <row r="49" spans="1:13" s="128" customFormat="1" ht="16.5" x14ac:dyDescent="0.25">
      <c r="A49" s="144"/>
      <c r="B49" s="144"/>
      <c r="C49" s="145"/>
      <c r="D49" s="145"/>
      <c r="E49" s="145"/>
      <c r="F49" s="145"/>
      <c r="G49" s="145"/>
      <c r="H49" s="146"/>
      <c r="I49" s="146"/>
      <c r="J49" s="147"/>
      <c r="K49" s="127"/>
      <c r="L49" s="127"/>
      <c r="M49" s="127"/>
    </row>
    <row r="50" spans="1:13" s="128" customFormat="1" ht="13.5" customHeight="1" x14ac:dyDescent="0.2">
      <c r="A50" s="185" t="s">
        <v>549</v>
      </c>
      <c r="B50" s="185"/>
      <c r="C50" s="185"/>
      <c r="D50" s="185"/>
      <c r="E50" s="185"/>
      <c r="F50" s="185"/>
      <c r="G50" s="185"/>
      <c r="H50" s="185"/>
      <c r="I50" s="185"/>
      <c r="J50" s="185"/>
      <c r="K50" s="127"/>
      <c r="L50" s="127"/>
      <c r="M50" s="127"/>
    </row>
    <row r="51" spans="1:13" s="128" customFormat="1" ht="13.5" customHeight="1" x14ac:dyDescent="0.25">
      <c r="A51" s="186" t="s">
        <v>550</v>
      </c>
      <c r="B51" s="186"/>
      <c r="C51" s="186"/>
      <c r="D51" s="186"/>
      <c r="E51" s="186"/>
      <c r="F51" s="186"/>
      <c r="G51" s="186"/>
      <c r="H51" s="186"/>
      <c r="I51" s="186"/>
      <c r="J51" s="186"/>
      <c r="K51" s="127"/>
      <c r="L51" s="127"/>
      <c r="M51" s="127"/>
    </row>
    <row r="52" spans="1:13" s="115" customFormat="1" ht="16.5" x14ac:dyDescent="0.25">
      <c r="A52" s="148"/>
      <c r="B52" s="148"/>
      <c r="C52" s="148"/>
      <c r="D52" s="148"/>
      <c r="E52" s="148"/>
      <c r="F52" s="148"/>
      <c r="G52" s="148"/>
      <c r="H52" s="148"/>
      <c r="I52" s="148"/>
      <c r="J52" s="149"/>
      <c r="K52" s="124"/>
      <c r="L52" s="124"/>
      <c r="M52" s="124"/>
    </row>
    <row r="53" spans="1:13" s="115" customFormat="1" ht="16.5" x14ac:dyDescent="0.25">
      <c r="A53" s="187" t="s">
        <v>551</v>
      </c>
      <c r="B53" s="187"/>
      <c r="C53" s="187"/>
      <c r="D53" s="187"/>
      <c r="E53" s="187"/>
      <c r="F53" s="187"/>
      <c r="G53" s="187"/>
      <c r="H53" s="187"/>
      <c r="I53" s="187"/>
      <c r="J53" s="187"/>
      <c r="K53" s="124"/>
      <c r="L53" s="124"/>
      <c r="M53" s="124"/>
    </row>
    <row r="54" spans="1:13" s="115" customFormat="1" ht="50.25" customHeight="1" x14ac:dyDescent="0.25">
      <c r="A54" s="150"/>
      <c r="B54" s="150"/>
      <c r="C54" s="150"/>
      <c r="D54" s="150"/>
      <c r="E54" s="150"/>
      <c r="F54" s="150"/>
      <c r="G54" s="150"/>
      <c r="H54" s="150"/>
      <c r="I54" s="150"/>
      <c r="J54" s="149"/>
      <c r="K54" s="124"/>
      <c r="L54" s="124"/>
      <c r="M54" s="124"/>
    </row>
    <row r="55" spans="1:13" s="115" customFormat="1" ht="16.5" x14ac:dyDescent="0.25">
      <c r="A55" s="188" t="s">
        <v>552</v>
      </c>
      <c r="B55" s="188"/>
      <c r="C55" s="188"/>
      <c r="D55" s="188"/>
      <c r="E55" s="188"/>
      <c r="F55" s="188"/>
      <c r="G55" s="188"/>
      <c r="H55" s="188"/>
      <c r="I55" s="188"/>
      <c r="J55" s="188"/>
      <c r="K55" s="124"/>
      <c r="L55" s="124"/>
      <c r="M55" s="124"/>
    </row>
    <row r="56" spans="1:13" s="115" customFormat="1" ht="15" x14ac:dyDescent="0.25">
      <c r="A56" s="151"/>
      <c r="B56" s="151"/>
      <c r="C56" s="151"/>
      <c r="D56" s="151"/>
      <c r="E56" s="151"/>
      <c r="F56" s="151"/>
      <c r="G56" s="151"/>
      <c r="H56" s="151"/>
      <c r="I56" s="151"/>
      <c r="J56" s="152"/>
      <c r="K56" s="124"/>
      <c r="L56" s="124"/>
      <c r="M56" s="124"/>
    </row>
    <row r="57" spans="1:13" s="115" customFormat="1" ht="15" x14ac:dyDescent="0.25">
      <c r="A57" s="127"/>
      <c r="B57" s="127"/>
      <c r="C57" s="127"/>
      <c r="D57" s="127"/>
      <c r="E57" s="127"/>
      <c r="F57" s="127"/>
      <c r="G57" s="128"/>
      <c r="H57" s="128"/>
      <c r="I57" s="128"/>
      <c r="J57" s="124"/>
      <c r="K57" s="124"/>
      <c r="L57" s="124"/>
      <c r="M57" s="124"/>
    </row>
    <row r="58" spans="1:13" s="115" customFormat="1" ht="15" x14ac:dyDescent="0.25">
      <c r="A58" s="127"/>
      <c r="B58" s="127"/>
      <c r="C58" s="127"/>
      <c r="D58" s="127"/>
      <c r="E58" s="127"/>
      <c r="F58" s="127"/>
      <c r="G58" s="128"/>
      <c r="H58" s="128"/>
      <c r="I58" s="128"/>
      <c r="J58" s="124"/>
      <c r="K58" s="124"/>
      <c r="L58" s="124"/>
      <c r="M58" s="124"/>
    </row>
    <row r="59" spans="1:13" s="115" customFormat="1" ht="15" x14ac:dyDescent="0.25">
      <c r="A59" s="127"/>
      <c r="B59" s="127"/>
      <c r="C59" s="127"/>
      <c r="D59" s="127"/>
      <c r="E59" s="127"/>
      <c r="F59" s="127"/>
      <c r="G59" s="128"/>
      <c r="H59" s="128"/>
      <c r="I59" s="128"/>
      <c r="J59" s="124"/>
      <c r="K59" s="124"/>
      <c r="L59" s="124"/>
      <c r="M59" s="124"/>
    </row>
    <row r="60" spans="1:13" s="115" customFormat="1" ht="15" x14ac:dyDescent="0.25">
      <c r="A60" s="127"/>
      <c r="B60" s="127"/>
      <c r="C60" s="127"/>
      <c r="D60" s="127"/>
      <c r="E60" s="127"/>
      <c r="F60" s="127"/>
      <c r="G60" s="128"/>
      <c r="H60" s="128"/>
      <c r="I60" s="128"/>
      <c r="J60" s="124"/>
      <c r="K60" s="124"/>
      <c r="L60" s="124"/>
      <c r="M60" s="124"/>
    </row>
    <row r="61" spans="1:13" s="115" customFormat="1" ht="15" x14ac:dyDescent="0.25">
      <c r="A61" s="124"/>
      <c r="B61" s="124"/>
      <c r="C61" s="124"/>
      <c r="D61" s="124"/>
      <c r="E61" s="124"/>
      <c r="F61" s="124"/>
      <c r="J61" s="124"/>
      <c r="K61" s="124"/>
      <c r="L61" s="124"/>
      <c r="M61" s="124"/>
    </row>
  </sheetData>
  <mergeCells count="80">
    <mergeCell ref="A1:J1"/>
    <mergeCell ref="A2:J2"/>
    <mergeCell ref="A3:J3"/>
    <mergeCell ref="A4:J4"/>
    <mergeCell ref="A5:B5"/>
    <mergeCell ref="C5:D5"/>
    <mergeCell ref="E5:G5"/>
    <mergeCell ref="H5:J5"/>
    <mergeCell ref="G6:J6"/>
    <mergeCell ref="C7:J7"/>
    <mergeCell ref="C8:J8"/>
    <mergeCell ref="C9:J9"/>
    <mergeCell ref="A10:B10"/>
    <mergeCell ref="C10:J10"/>
    <mergeCell ref="A7:B7"/>
    <mergeCell ref="A8:B8"/>
    <mergeCell ref="C6:F6"/>
    <mergeCell ref="A6:B6"/>
    <mergeCell ref="C11:J11"/>
    <mergeCell ref="A12:B12"/>
    <mergeCell ref="C12:J12"/>
    <mergeCell ref="A13:B13"/>
    <mergeCell ref="C13:J13"/>
    <mergeCell ref="A11:B11"/>
    <mergeCell ref="A14:B14"/>
    <mergeCell ref="C14:J14"/>
    <mergeCell ref="A15:B15"/>
    <mergeCell ref="C15:J15"/>
    <mergeCell ref="A16:B16"/>
    <mergeCell ref="A17:J17"/>
    <mergeCell ref="A18:B18"/>
    <mergeCell ref="G18:I18"/>
    <mergeCell ref="A19:B24"/>
    <mergeCell ref="E19:J19"/>
    <mergeCell ref="E20:J20"/>
    <mergeCell ref="E21:J21"/>
    <mergeCell ref="E22:J22"/>
    <mergeCell ref="C23:D23"/>
    <mergeCell ref="E23:J23"/>
    <mergeCell ref="E24:J24"/>
    <mergeCell ref="C20:D20"/>
    <mergeCell ref="C19:D19"/>
    <mergeCell ref="C22:D22"/>
    <mergeCell ref="C21:D21"/>
    <mergeCell ref="A25:J25"/>
    <mergeCell ref="A26:B26"/>
    <mergeCell ref="C26:J26"/>
    <mergeCell ref="A27:B27"/>
    <mergeCell ref="C27:J27"/>
    <mergeCell ref="A28:B28"/>
    <mergeCell ref="C28:J28"/>
    <mergeCell ref="A29:B29"/>
    <mergeCell ref="C29:J29"/>
    <mergeCell ref="A30:B30"/>
    <mergeCell ref="C30:J30"/>
    <mergeCell ref="A31:B31"/>
    <mergeCell ref="C31:J31"/>
    <mergeCell ref="A32:B32"/>
    <mergeCell ref="C32:J32"/>
    <mergeCell ref="A33:J33"/>
    <mergeCell ref="A34:E35"/>
    <mergeCell ref="F34:H34"/>
    <mergeCell ref="I34:J35"/>
    <mergeCell ref="A36:E36"/>
    <mergeCell ref="A37:E37"/>
    <mergeCell ref="A38:E38"/>
    <mergeCell ref="A39:E39"/>
    <mergeCell ref="A40:E40"/>
    <mergeCell ref="A41:E41"/>
    <mergeCell ref="A42:E42"/>
    <mergeCell ref="A43:E43"/>
    <mergeCell ref="A44:E44"/>
    <mergeCell ref="A45:J45"/>
    <mergeCell ref="B46:J46"/>
    <mergeCell ref="B47:J47"/>
    <mergeCell ref="B48:J48"/>
    <mergeCell ref="A50:J50"/>
    <mergeCell ref="A51:J51"/>
    <mergeCell ref="A53:J53"/>
    <mergeCell ref="A55:J55"/>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11"/>
  <sheetViews>
    <sheetView zoomScale="70" zoomScaleNormal="70" workbookViewId="0">
      <pane xSplit="2" ySplit="4" topLeftCell="G104" activePane="bottomRight" state="frozen"/>
      <selection pane="topRight" activeCell="C1" sqref="C1"/>
      <selection pane="bottomLeft" activeCell="A3" sqref="A3"/>
      <selection pane="bottomRight" activeCell="AE109" sqref="AE109"/>
    </sheetView>
  </sheetViews>
  <sheetFormatPr baseColWidth="10" defaultRowHeight="15" x14ac:dyDescent="0.25"/>
  <cols>
    <col min="1" max="1" width="8.42578125" style="6" customWidth="1"/>
    <col min="2" max="2" width="4.140625" style="6" customWidth="1"/>
    <col min="3" max="3" width="4.7109375" style="16" customWidth="1"/>
    <col min="4" max="4" width="26.28515625" style="7" customWidth="1"/>
    <col min="5" max="5" width="5" style="7" customWidth="1"/>
    <col min="6" max="6" width="36.42578125" style="6" customWidth="1"/>
    <col min="7" max="7" width="5.85546875" style="6" customWidth="1"/>
    <col min="8" max="8" width="37.140625" style="7" customWidth="1"/>
    <col min="9" max="9" width="23.5703125" style="7" customWidth="1"/>
    <col min="10" max="15" width="5.42578125" style="6" customWidth="1"/>
    <col min="16" max="16" width="1.85546875" style="6" customWidth="1"/>
    <col min="17" max="17" width="5.42578125" style="6" customWidth="1"/>
    <col min="18" max="21" width="7.140625" style="6" bestFit="1" customWidth="1"/>
    <col min="22" max="22" width="7.28515625" style="6" bestFit="1" customWidth="1"/>
    <col min="23" max="23" width="2" style="6" customWidth="1"/>
    <col min="24" max="29" width="5.42578125" style="6" customWidth="1"/>
    <col min="30" max="30" width="23.7109375" style="6" customWidth="1"/>
    <col min="31" max="31" width="26.5703125" style="6" customWidth="1"/>
  </cols>
  <sheetData>
    <row r="1" spans="1:31" ht="26.25" x14ac:dyDescent="0.25">
      <c r="A1" s="246" t="s">
        <v>307</v>
      </c>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row>
    <row r="2" spans="1:31" x14ac:dyDescent="0.25">
      <c r="A2" s="247"/>
      <c r="B2" s="247"/>
      <c r="C2" s="247"/>
      <c r="D2" s="247"/>
      <c r="E2" s="265" t="s">
        <v>21</v>
      </c>
      <c r="F2" s="266"/>
      <c r="G2" s="266"/>
      <c r="H2" s="266"/>
      <c r="I2" s="266"/>
      <c r="J2" s="266"/>
      <c r="K2" s="266"/>
      <c r="L2" s="266"/>
      <c r="M2" s="266"/>
      <c r="N2" s="266"/>
      <c r="O2" s="267"/>
      <c r="P2" s="262" t="s">
        <v>212</v>
      </c>
      <c r="Q2" s="263"/>
      <c r="R2" s="263"/>
      <c r="S2" s="263"/>
      <c r="T2" s="263"/>
      <c r="U2" s="263"/>
      <c r="V2" s="263"/>
      <c r="W2" s="263"/>
      <c r="X2" s="263"/>
      <c r="Y2" s="263"/>
      <c r="Z2" s="263"/>
      <c r="AA2" s="263"/>
      <c r="AB2" s="263"/>
      <c r="AC2" s="263"/>
      <c r="AD2" s="263"/>
      <c r="AE2" s="264"/>
    </row>
    <row r="3" spans="1:31" s="14" customFormat="1" x14ac:dyDescent="0.25">
      <c r="A3" s="245" t="s">
        <v>1</v>
      </c>
      <c r="B3" s="245" t="s">
        <v>0</v>
      </c>
      <c r="C3" s="260" t="s">
        <v>24</v>
      </c>
      <c r="D3" s="260"/>
      <c r="E3" s="245" t="s">
        <v>23</v>
      </c>
      <c r="F3" s="245"/>
      <c r="G3" s="260" t="s">
        <v>22</v>
      </c>
      <c r="H3" s="260"/>
      <c r="I3" s="250" t="s">
        <v>186</v>
      </c>
      <c r="J3" s="245" t="s">
        <v>7</v>
      </c>
      <c r="K3" s="245"/>
      <c r="L3" s="245"/>
      <c r="M3" s="245"/>
      <c r="N3" s="245"/>
      <c r="O3" s="245"/>
      <c r="P3" s="278"/>
      <c r="Q3" s="245" t="s">
        <v>16</v>
      </c>
      <c r="R3" s="245"/>
      <c r="S3" s="245"/>
      <c r="T3" s="245"/>
      <c r="U3" s="245"/>
      <c r="V3" s="245"/>
      <c r="W3" s="252"/>
      <c r="X3" s="254" t="s">
        <v>19</v>
      </c>
      <c r="Y3" s="255"/>
      <c r="Z3" s="255"/>
      <c r="AA3" s="255"/>
      <c r="AB3" s="255"/>
      <c r="AC3" s="256"/>
      <c r="AD3" s="248" t="s">
        <v>17</v>
      </c>
      <c r="AE3" s="250" t="s">
        <v>18</v>
      </c>
    </row>
    <row r="4" spans="1:31" s="14" customFormat="1" x14ac:dyDescent="0.25">
      <c r="A4" s="248"/>
      <c r="B4" s="248"/>
      <c r="C4" s="250"/>
      <c r="D4" s="250"/>
      <c r="E4" s="248"/>
      <c r="F4" s="248"/>
      <c r="G4" s="250"/>
      <c r="H4" s="250"/>
      <c r="I4" s="261"/>
      <c r="J4" s="40" t="s">
        <v>8</v>
      </c>
      <c r="K4" s="40" t="s">
        <v>9</v>
      </c>
      <c r="L4" s="40" t="s">
        <v>10</v>
      </c>
      <c r="M4" s="40" t="s">
        <v>497</v>
      </c>
      <c r="N4" s="40" t="s">
        <v>11</v>
      </c>
      <c r="O4" s="40">
        <v>1</v>
      </c>
      <c r="P4" s="278"/>
      <c r="Q4" s="40" t="s">
        <v>8</v>
      </c>
      <c r="R4" s="40" t="s">
        <v>9</v>
      </c>
      <c r="S4" s="40" t="s">
        <v>10</v>
      </c>
      <c r="T4" s="40" t="s">
        <v>497</v>
      </c>
      <c r="U4" s="40" t="s">
        <v>11</v>
      </c>
      <c r="V4" s="40" t="s">
        <v>12</v>
      </c>
      <c r="W4" s="253"/>
      <c r="X4" s="257"/>
      <c r="Y4" s="258"/>
      <c r="Z4" s="258"/>
      <c r="AA4" s="258"/>
      <c r="AB4" s="258"/>
      <c r="AC4" s="259"/>
      <c r="AD4" s="249"/>
      <c r="AE4" s="251"/>
    </row>
    <row r="5" spans="1:31" ht="60" x14ac:dyDescent="0.25">
      <c r="A5" s="237">
        <v>1</v>
      </c>
      <c r="B5" s="238" t="s">
        <v>15</v>
      </c>
      <c r="C5" s="60">
        <v>1.1000000000000001</v>
      </c>
      <c r="D5" s="61" t="s">
        <v>2</v>
      </c>
      <c r="E5" s="62" t="s">
        <v>132</v>
      </c>
      <c r="F5" s="61" t="s">
        <v>416</v>
      </c>
      <c r="G5" s="62">
        <v>1</v>
      </c>
      <c r="H5" s="61" t="s">
        <v>73</v>
      </c>
      <c r="I5" s="229" t="s">
        <v>364</v>
      </c>
      <c r="J5" s="63"/>
      <c r="K5" s="63"/>
      <c r="L5" s="63"/>
      <c r="M5" s="63"/>
      <c r="N5" s="63"/>
      <c r="O5" s="39">
        <v>1</v>
      </c>
      <c r="P5" s="278"/>
      <c r="Q5" s="39">
        <v>0</v>
      </c>
      <c r="R5" s="39">
        <f>12*0.1</f>
        <v>1.2000000000000002</v>
      </c>
      <c r="S5" s="39">
        <f>12*0.2</f>
        <v>2.4000000000000004</v>
      </c>
      <c r="T5" s="39">
        <f>12*0.3</f>
        <v>3.5999999999999996</v>
      </c>
      <c r="U5" s="39">
        <f>12*0.6</f>
        <v>7.1999999999999993</v>
      </c>
      <c r="V5" s="39">
        <f>12*1</f>
        <v>12</v>
      </c>
      <c r="W5" s="13"/>
      <c r="X5" s="15">
        <f t="shared" ref="X5:X26" si="0">J5*Q5</f>
        <v>0</v>
      </c>
      <c r="Y5" s="15">
        <f t="shared" ref="Y5:Y26" si="1">K5*R5</f>
        <v>0</v>
      </c>
      <c r="Z5" s="15">
        <f t="shared" ref="Z5:Z26" si="2">L5*S5</f>
        <v>0</v>
      </c>
      <c r="AA5" s="15">
        <f t="shared" ref="AA5:AA26" si="3">M5*T5</f>
        <v>0</v>
      </c>
      <c r="AB5" s="15">
        <f t="shared" ref="AB5:AB26" si="4">N5*U5</f>
        <v>0</v>
      </c>
      <c r="AC5" s="15">
        <f t="shared" ref="AC5:AC26" si="5">O5*V5</f>
        <v>12</v>
      </c>
      <c r="AD5" s="15">
        <f t="shared" ref="AD5:AD35" si="6">X5+Y5+Z5+AA5+AB5+AC5</f>
        <v>12</v>
      </c>
      <c r="AE5" s="270">
        <f>SUM(AD5:AD22)</f>
        <v>216</v>
      </c>
    </row>
    <row r="6" spans="1:31" ht="22.5" customHeight="1" x14ac:dyDescent="0.25">
      <c r="A6" s="237"/>
      <c r="B6" s="238"/>
      <c r="C6" s="64">
        <v>1.2</v>
      </c>
      <c r="D6" s="65" t="s">
        <v>74</v>
      </c>
      <c r="E6" s="64" t="s">
        <v>133</v>
      </c>
      <c r="F6" s="65" t="s">
        <v>438</v>
      </c>
      <c r="G6" s="66">
        <v>2</v>
      </c>
      <c r="H6" s="67" t="s">
        <v>453</v>
      </c>
      <c r="I6" s="230"/>
      <c r="J6" s="68"/>
      <c r="K6" s="68"/>
      <c r="L6" s="68"/>
      <c r="M6" s="68"/>
      <c r="N6" s="68"/>
      <c r="O6" s="47">
        <v>1</v>
      </c>
      <c r="P6" s="278"/>
      <c r="Q6" s="48">
        <v>0</v>
      </c>
      <c r="R6" s="47">
        <f t="shared" ref="R6:R22" si="7">12*0.1</f>
        <v>1.2000000000000002</v>
      </c>
      <c r="S6" s="47">
        <f t="shared" ref="S6:S22" si="8">12*0.2</f>
        <v>2.4000000000000004</v>
      </c>
      <c r="T6" s="47">
        <f t="shared" ref="T6:T22" si="9">12*0.3</f>
        <v>3.5999999999999996</v>
      </c>
      <c r="U6" s="47">
        <f t="shared" ref="U6:U22" si="10">12*0.6</f>
        <v>7.1999999999999993</v>
      </c>
      <c r="V6" s="48">
        <v>12</v>
      </c>
      <c r="W6" s="13"/>
      <c r="X6" s="48">
        <f t="shared" si="0"/>
        <v>0</v>
      </c>
      <c r="Y6" s="48">
        <f t="shared" si="1"/>
        <v>0</v>
      </c>
      <c r="Z6" s="48">
        <f t="shared" si="2"/>
        <v>0</v>
      </c>
      <c r="AA6" s="48">
        <f t="shared" si="3"/>
        <v>0</v>
      </c>
      <c r="AB6" s="48">
        <f t="shared" si="4"/>
        <v>0</v>
      </c>
      <c r="AC6" s="48">
        <f t="shared" si="5"/>
        <v>12</v>
      </c>
      <c r="AD6" s="48">
        <f t="shared" si="6"/>
        <v>12</v>
      </c>
      <c r="AE6" s="271"/>
    </row>
    <row r="7" spans="1:31" ht="24" x14ac:dyDescent="0.25">
      <c r="A7" s="237"/>
      <c r="B7" s="238"/>
      <c r="C7" s="228">
        <v>1.3</v>
      </c>
      <c r="D7" s="235" t="s">
        <v>3</v>
      </c>
      <c r="E7" s="228" t="s">
        <v>134</v>
      </c>
      <c r="F7" s="235" t="s">
        <v>219</v>
      </c>
      <c r="G7" s="62">
        <v>3</v>
      </c>
      <c r="H7" s="61" t="s">
        <v>417</v>
      </c>
      <c r="I7" s="230"/>
      <c r="J7" s="63"/>
      <c r="K7" s="63"/>
      <c r="L7" s="63"/>
      <c r="M7" s="63"/>
      <c r="N7" s="63"/>
      <c r="O7" s="47">
        <v>1</v>
      </c>
      <c r="P7" s="278"/>
      <c r="Q7" s="39">
        <v>0</v>
      </c>
      <c r="R7" s="47">
        <f t="shared" si="7"/>
        <v>1.2000000000000002</v>
      </c>
      <c r="S7" s="47">
        <f t="shared" si="8"/>
        <v>2.4000000000000004</v>
      </c>
      <c r="T7" s="47">
        <f t="shared" si="9"/>
        <v>3.5999999999999996</v>
      </c>
      <c r="U7" s="47">
        <f t="shared" si="10"/>
        <v>7.1999999999999993</v>
      </c>
      <c r="V7" s="39">
        <v>12</v>
      </c>
      <c r="W7" s="13"/>
      <c r="X7" s="15">
        <f t="shared" si="0"/>
        <v>0</v>
      </c>
      <c r="Y7" s="15">
        <f t="shared" si="1"/>
        <v>0</v>
      </c>
      <c r="Z7" s="15">
        <f t="shared" si="2"/>
        <v>0</v>
      </c>
      <c r="AA7" s="15">
        <f t="shared" si="3"/>
        <v>0</v>
      </c>
      <c r="AB7" s="15">
        <f t="shared" si="4"/>
        <v>0</v>
      </c>
      <c r="AC7" s="15">
        <f t="shared" si="5"/>
        <v>12</v>
      </c>
      <c r="AD7" s="15">
        <f t="shared" si="6"/>
        <v>12</v>
      </c>
      <c r="AE7" s="271"/>
    </row>
    <row r="8" spans="1:31" ht="48" x14ac:dyDescent="0.25">
      <c r="A8" s="237"/>
      <c r="B8" s="238"/>
      <c r="C8" s="228"/>
      <c r="D8" s="235"/>
      <c r="E8" s="228"/>
      <c r="F8" s="235"/>
      <c r="G8" s="62">
        <v>4</v>
      </c>
      <c r="H8" s="61" t="s">
        <v>418</v>
      </c>
      <c r="I8" s="230"/>
      <c r="J8" s="63"/>
      <c r="K8" s="63"/>
      <c r="L8" s="63"/>
      <c r="M8" s="63"/>
      <c r="N8" s="63"/>
      <c r="O8" s="47">
        <v>1</v>
      </c>
      <c r="P8" s="278"/>
      <c r="Q8" s="39">
        <v>0</v>
      </c>
      <c r="R8" s="47">
        <f t="shared" si="7"/>
        <v>1.2000000000000002</v>
      </c>
      <c r="S8" s="47">
        <f t="shared" si="8"/>
        <v>2.4000000000000004</v>
      </c>
      <c r="T8" s="47">
        <f t="shared" si="9"/>
        <v>3.5999999999999996</v>
      </c>
      <c r="U8" s="47">
        <f t="shared" si="10"/>
        <v>7.1999999999999993</v>
      </c>
      <c r="V8" s="39">
        <v>12</v>
      </c>
      <c r="W8" s="13"/>
      <c r="X8" s="15">
        <f t="shared" si="0"/>
        <v>0</v>
      </c>
      <c r="Y8" s="15">
        <f t="shared" si="1"/>
        <v>0</v>
      </c>
      <c r="Z8" s="15">
        <f t="shared" si="2"/>
        <v>0</v>
      </c>
      <c r="AA8" s="15">
        <f t="shared" si="3"/>
        <v>0</v>
      </c>
      <c r="AB8" s="15">
        <f t="shared" si="4"/>
        <v>0</v>
      </c>
      <c r="AC8" s="15">
        <f t="shared" si="5"/>
        <v>12</v>
      </c>
      <c r="AD8" s="15">
        <f t="shared" si="6"/>
        <v>12</v>
      </c>
      <c r="AE8" s="271"/>
    </row>
    <row r="9" spans="1:31" ht="48" x14ac:dyDescent="0.25">
      <c r="A9" s="237"/>
      <c r="B9" s="238"/>
      <c r="C9" s="228"/>
      <c r="D9" s="235"/>
      <c r="E9" s="232" t="s">
        <v>135</v>
      </c>
      <c r="F9" s="229" t="s">
        <v>75</v>
      </c>
      <c r="G9" s="62">
        <v>5</v>
      </c>
      <c r="H9" s="61" t="s">
        <v>76</v>
      </c>
      <c r="I9" s="230"/>
      <c r="J9" s="63"/>
      <c r="K9" s="63"/>
      <c r="L9" s="63"/>
      <c r="M9" s="63"/>
      <c r="N9" s="63"/>
      <c r="O9" s="47">
        <v>1</v>
      </c>
      <c r="P9" s="278"/>
      <c r="Q9" s="39">
        <v>0</v>
      </c>
      <c r="R9" s="47">
        <f t="shared" si="7"/>
        <v>1.2000000000000002</v>
      </c>
      <c r="S9" s="47">
        <f t="shared" si="8"/>
        <v>2.4000000000000004</v>
      </c>
      <c r="T9" s="47">
        <f t="shared" si="9"/>
        <v>3.5999999999999996</v>
      </c>
      <c r="U9" s="47">
        <f t="shared" si="10"/>
        <v>7.1999999999999993</v>
      </c>
      <c r="V9" s="39">
        <v>12</v>
      </c>
      <c r="W9" s="13"/>
      <c r="X9" s="15">
        <f t="shared" si="0"/>
        <v>0</v>
      </c>
      <c r="Y9" s="15">
        <f t="shared" si="1"/>
        <v>0</v>
      </c>
      <c r="Z9" s="15">
        <f t="shared" si="2"/>
        <v>0</v>
      </c>
      <c r="AA9" s="15">
        <f t="shared" si="3"/>
        <v>0</v>
      </c>
      <c r="AB9" s="15">
        <f t="shared" si="4"/>
        <v>0</v>
      </c>
      <c r="AC9" s="15">
        <f t="shared" si="5"/>
        <v>12</v>
      </c>
      <c r="AD9" s="15">
        <f t="shared" si="6"/>
        <v>12</v>
      </c>
      <c r="AE9" s="271"/>
    </row>
    <row r="10" spans="1:31" ht="24" x14ac:dyDescent="0.25">
      <c r="A10" s="237"/>
      <c r="B10" s="238"/>
      <c r="C10" s="228"/>
      <c r="D10" s="235"/>
      <c r="E10" s="233"/>
      <c r="F10" s="230"/>
      <c r="G10" s="62">
        <v>6</v>
      </c>
      <c r="H10" s="61" t="s">
        <v>220</v>
      </c>
      <c r="I10" s="230"/>
      <c r="J10" s="63"/>
      <c r="K10" s="63"/>
      <c r="L10" s="63"/>
      <c r="M10" s="63"/>
      <c r="N10" s="63"/>
      <c r="O10" s="47">
        <v>1</v>
      </c>
      <c r="P10" s="278"/>
      <c r="Q10" s="39">
        <v>0</v>
      </c>
      <c r="R10" s="47">
        <f t="shared" si="7"/>
        <v>1.2000000000000002</v>
      </c>
      <c r="S10" s="47">
        <f t="shared" si="8"/>
        <v>2.4000000000000004</v>
      </c>
      <c r="T10" s="47">
        <f t="shared" si="9"/>
        <v>3.5999999999999996</v>
      </c>
      <c r="U10" s="47">
        <f t="shared" si="10"/>
        <v>7.1999999999999993</v>
      </c>
      <c r="V10" s="39">
        <v>12</v>
      </c>
      <c r="W10" s="13"/>
      <c r="X10" s="15">
        <f t="shared" si="0"/>
        <v>0</v>
      </c>
      <c r="Y10" s="15">
        <f t="shared" si="1"/>
        <v>0</v>
      </c>
      <c r="Z10" s="15">
        <f t="shared" si="2"/>
        <v>0</v>
      </c>
      <c r="AA10" s="15">
        <f t="shared" si="3"/>
        <v>0</v>
      </c>
      <c r="AB10" s="15">
        <f t="shared" si="4"/>
        <v>0</v>
      </c>
      <c r="AC10" s="15">
        <f t="shared" si="5"/>
        <v>12</v>
      </c>
      <c r="AD10" s="15">
        <f t="shared" si="6"/>
        <v>12</v>
      </c>
      <c r="AE10" s="271"/>
    </row>
    <row r="11" spans="1:31" ht="84" x14ac:dyDescent="0.25">
      <c r="A11" s="237"/>
      <c r="B11" s="238"/>
      <c r="C11" s="228"/>
      <c r="D11" s="235"/>
      <c r="E11" s="233"/>
      <c r="F11" s="230"/>
      <c r="G11" s="62">
        <v>7</v>
      </c>
      <c r="H11" s="61" t="s">
        <v>77</v>
      </c>
      <c r="I11" s="230"/>
      <c r="J11" s="63"/>
      <c r="K11" s="63"/>
      <c r="L11" s="63"/>
      <c r="M11" s="63"/>
      <c r="N11" s="63"/>
      <c r="O11" s="47">
        <v>1</v>
      </c>
      <c r="P11" s="278"/>
      <c r="Q11" s="39">
        <v>0</v>
      </c>
      <c r="R11" s="47">
        <f t="shared" si="7"/>
        <v>1.2000000000000002</v>
      </c>
      <c r="S11" s="47">
        <f t="shared" si="8"/>
        <v>2.4000000000000004</v>
      </c>
      <c r="T11" s="47">
        <f t="shared" si="9"/>
        <v>3.5999999999999996</v>
      </c>
      <c r="U11" s="47">
        <f t="shared" si="10"/>
        <v>7.1999999999999993</v>
      </c>
      <c r="V11" s="39">
        <v>12</v>
      </c>
      <c r="W11" s="13"/>
      <c r="X11" s="15">
        <f t="shared" si="0"/>
        <v>0</v>
      </c>
      <c r="Y11" s="15">
        <f t="shared" si="1"/>
        <v>0</v>
      </c>
      <c r="Z11" s="15">
        <f t="shared" si="2"/>
        <v>0</v>
      </c>
      <c r="AA11" s="15">
        <f t="shared" si="3"/>
        <v>0</v>
      </c>
      <c r="AB11" s="15">
        <f t="shared" si="4"/>
        <v>0</v>
      </c>
      <c r="AC11" s="15">
        <f t="shared" si="5"/>
        <v>12</v>
      </c>
      <c r="AD11" s="15">
        <f t="shared" si="6"/>
        <v>12</v>
      </c>
      <c r="AE11" s="271"/>
    </row>
    <row r="12" spans="1:31" ht="72" x14ac:dyDescent="0.25">
      <c r="A12" s="237"/>
      <c r="B12" s="238"/>
      <c r="C12" s="228"/>
      <c r="D12" s="235"/>
      <c r="E12" s="234"/>
      <c r="F12" s="231"/>
      <c r="G12" s="62">
        <v>8</v>
      </c>
      <c r="H12" s="61" t="s">
        <v>78</v>
      </c>
      <c r="I12" s="231"/>
      <c r="J12" s="63"/>
      <c r="K12" s="63"/>
      <c r="L12" s="63"/>
      <c r="M12" s="63"/>
      <c r="N12" s="63"/>
      <c r="O12" s="47">
        <v>1</v>
      </c>
      <c r="P12" s="278"/>
      <c r="Q12" s="39">
        <v>0</v>
      </c>
      <c r="R12" s="47">
        <f t="shared" si="7"/>
        <v>1.2000000000000002</v>
      </c>
      <c r="S12" s="47">
        <f t="shared" si="8"/>
        <v>2.4000000000000004</v>
      </c>
      <c r="T12" s="47">
        <f t="shared" si="9"/>
        <v>3.5999999999999996</v>
      </c>
      <c r="U12" s="47">
        <f t="shared" si="10"/>
        <v>7.1999999999999993</v>
      </c>
      <c r="V12" s="39">
        <v>12</v>
      </c>
      <c r="W12" s="13"/>
      <c r="X12" s="15">
        <f t="shared" si="0"/>
        <v>0</v>
      </c>
      <c r="Y12" s="15">
        <f t="shared" si="1"/>
        <v>0</v>
      </c>
      <c r="Z12" s="15">
        <f t="shared" si="2"/>
        <v>0</v>
      </c>
      <c r="AA12" s="15">
        <f t="shared" si="3"/>
        <v>0</v>
      </c>
      <c r="AB12" s="15">
        <f t="shared" si="4"/>
        <v>0</v>
      </c>
      <c r="AC12" s="15">
        <f t="shared" si="5"/>
        <v>12</v>
      </c>
      <c r="AD12" s="15">
        <f t="shared" si="6"/>
        <v>12</v>
      </c>
      <c r="AE12" s="271"/>
    </row>
    <row r="13" spans="1:31" ht="36" x14ac:dyDescent="0.25">
      <c r="A13" s="237"/>
      <c r="B13" s="238"/>
      <c r="C13" s="228">
        <v>1.4</v>
      </c>
      <c r="D13" s="235" t="s">
        <v>4</v>
      </c>
      <c r="E13" s="228" t="s">
        <v>136</v>
      </c>
      <c r="F13" s="235" t="s">
        <v>79</v>
      </c>
      <c r="G13" s="62">
        <v>9</v>
      </c>
      <c r="H13" s="61" t="s">
        <v>80</v>
      </c>
      <c r="I13" s="235" t="s">
        <v>239</v>
      </c>
      <c r="J13" s="63"/>
      <c r="K13" s="63"/>
      <c r="L13" s="63"/>
      <c r="M13" s="63"/>
      <c r="N13" s="63"/>
      <c r="O13" s="47">
        <v>1</v>
      </c>
      <c r="P13" s="278"/>
      <c r="Q13" s="39">
        <v>0</v>
      </c>
      <c r="R13" s="47">
        <f t="shared" si="7"/>
        <v>1.2000000000000002</v>
      </c>
      <c r="S13" s="47">
        <f t="shared" si="8"/>
        <v>2.4000000000000004</v>
      </c>
      <c r="T13" s="47">
        <f t="shared" si="9"/>
        <v>3.5999999999999996</v>
      </c>
      <c r="U13" s="47">
        <f t="shared" si="10"/>
        <v>7.1999999999999993</v>
      </c>
      <c r="V13" s="39">
        <v>12</v>
      </c>
      <c r="W13" s="13"/>
      <c r="X13" s="15">
        <f t="shared" si="0"/>
        <v>0</v>
      </c>
      <c r="Y13" s="15">
        <f t="shared" si="1"/>
        <v>0</v>
      </c>
      <c r="Z13" s="15">
        <f t="shared" si="2"/>
        <v>0</v>
      </c>
      <c r="AA13" s="15">
        <f t="shared" si="3"/>
        <v>0</v>
      </c>
      <c r="AB13" s="15">
        <f t="shared" si="4"/>
        <v>0</v>
      </c>
      <c r="AC13" s="15">
        <f t="shared" si="5"/>
        <v>12</v>
      </c>
      <c r="AD13" s="15">
        <f t="shared" si="6"/>
        <v>12</v>
      </c>
      <c r="AE13" s="271"/>
    </row>
    <row r="14" spans="1:31" ht="36" x14ac:dyDescent="0.25">
      <c r="A14" s="237"/>
      <c r="B14" s="238"/>
      <c r="C14" s="228"/>
      <c r="D14" s="235"/>
      <c r="E14" s="228"/>
      <c r="F14" s="235"/>
      <c r="G14" s="62">
        <v>10</v>
      </c>
      <c r="H14" s="61" t="s">
        <v>81</v>
      </c>
      <c r="I14" s="235"/>
      <c r="J14" s="63"/>
      <c r="K14" s="63"/>
      <c r="L14" s="63"/>
      <c r="M14" s="63"/>
      <c r="N14" s="63"/>
      <c r="O14" s="47">
        <v>1</v>
      </c>
      <c r="P14" s="278"/>
      <c r="Q14" s="39">
        <v>0</v>
      </c>
      <c r="R14" s="47">
        <f t="shared" si="7"/>
        <v>1.2000000000000002</v>
      </c>
      <c r="S14" s="47">
        <f t="shared" si="8"/>
        <v>2.4000000000000004</v>
      </c>
      <c r="T14" s="47">
        <f t="shared" si="9"/>
        <v>3.5999999999999996</v>
      </c>
      <c r="U14" s="47">
        <f t="shared" si="10"/>
        <v>7.1999999999999993</v>
      </c>
      <c r="V14" s="39">
        <v>12</v>
      </c>
      <c r="W14" s="13"/>
      <c r="X14" s="15">
        <f t="shared" si="0"/>
        <v>0</v>
      </c>
      <c r="Y14" s="15">
        <f t="shared" si="1"/>
        <v>0</v>
      </c>
      <c r="Z14" s="15">
        <f t="shared" si="2"/>
        <v>0</v>
      </c>
      <c r="AA14" s="15">
        <f t="shared" si="3"/>
        <v>0</v>
      </c>
      <c r="AB14" s="15">
        <f t="shared" si="4"/>
        <v>0</v>
      </c>
      <c r="AC14" s="15">
        <f t="shared" si="5"/>
        <v>12</v>
      </c>
      <c r="AD14" s="15">
        <f t="shared" si="6"/>
        <v>12</v>
      </c>
      <c r="AE14" s="271"/>
    </row>
    <row r="15" spans="1:31" ht="60" x14ac:dyDescent="0.25">
      <c r="A15" s="237"/>
      <c r="B15" s="238"/>
      <c r="C15" s="228"/>
      <c r="D15" s="235"/>
      <c r="E15" s="228"/>
      <c r="F15" s="235"/>
      <c r="G15" s="62">
        <v>11</v>
      </c>
      <c r="H15" s="61" t="s">
        <v>82</v>
      </c>
      <c r="I15" s="235"/>
      <c r="J15" s="63"/>
      <c r="K15" s="63"/>
      <c r="L15" s="63"/>
      <c r="M15" s="63"/>
      <c r="N15" s="63"/>
      <c r="O15" s="47">
        <v>1</v>
      </c>
      <c r="P15" s="278"/>
      <c r="Q15" s="39">
        <v>0</v>
      </c>
      <c r="R15" s="47">
        <f t="shared" si="7"/>
        <v>1.2000000000000002</v>
      </c>
      <c r="S15" s="47">
        <f t="shared" si="8"/>
        <v>2.4000000000000004</v>
      </c>
      <c r="T15" s="47">
        <f t="shared" si="9"/>
        <v>3.5999999999999996</v>
      </c>
      <c r="U15" s="47">
        <f t="shared" si="10"/>
        <v>7.1999999999999993</v>
      </c>
      <c r="V15" s="39">
        <v>12</v>
      </c>
      <c r="W15" s="13"/>
      <c r="X15" s="15">
        <f t="shared" si="0"/>
        <v>0</v>
      </c>
      <c r="Y15" s="15">
        <f t="shared" si="1"/>
        <v>0</v>
      </c>
      <c r="Z15" s="15">
        <f t="shared" si="2"/>
        <v>0</v>
      </c>
      <c r="AA15" s="15">
        <f t="shared" si="3"/>
        <v>0</v>
      </c>
      <c r="AB15" s="15">
        <f t="shared" si="4"/>
        <v>0</v>
      </c>
      <c r="AC15" s="15">
        <f t="shared" si="5"/>
        <v>12</v>
      </c>
      <c r="AD15" s="15">
        <f t="shared" si="6"/>
        <v>12</v>
      </c>
      <c r="AE15" s="271"/>
    </row>
    <row r="16" spans="1:31" ht="72" x14ac:dyDescent="0.25">
      <c r="A16" s="237"/>
      <c r="B16" s="238"/>
      <c r="C16" s="228">
        <v>1.5</v>
      </c>
      <c r="D16" s="235" t="s">
        <v>5</v>
      </c>
      <c r="E16" s="60" t="s">
        <v>137</v>
      </c>
      <c r="F16" s="61" t="s">
        <v>83</v>
      </c>
      <c r="G16" s="62">
        <v>12</v>
      </c>
      <c r="H16" s="61" t="s">
        <v>84</v>
      </c>
      <c r="I16" s="235"/>
      <c r="J16" s="63"/>
      <c r="K16" s="63"/>
      <c r="L16" s="63"/>
      <c r="M16" s="63"/>
      <c r="N16" s="63"/>
      <c r="O16" s="47">
        <v>1</v>
      </c>
      <c r="P16" s="278"/>
      <c r="Q16" s="39">
        <v>0</v>
      </c>
      <c r="R16" s="47">
        <f t="shared" si="7"/>
        <v>1.2000000000000002</v>
      </c>
      <c r="S16" s="47">
        <f t="shared" si="8"/>
        <v>2.4000000000000004</v>
      </c>
      <c r="T16" s="47">
        <f t="shared" si="9"/>
        <v>3.5999999999999996</v>
      </c>
      <c r="U16" s="47">
        <f t="shared" si="10"/>
        <v>7.1999999999999993</v>
      </c>
      <c r="V16" s="39">
        <v>12</v>
      </c>
      <c r="W16" s="13"/>
      <c r="X16" s="15">
        <f t="shared" si="0"/>
        <v>0</v>
      </c>
      <c r="Y16" s="15">
        <f t="shared" si="1"/>
        <v>0</v>
      </c>
      <c r="Z16" s="15">
        <f t="shared" si="2"/>
        <v>0</v>
      </c>
      <c r="AA16" s="15">
        <f t="shared" si="3"/>
        <v>0</v>
      </c>
      <c r="AB16" s="15">
        <f t="shared" si="4"/>
        <v>0</v>
      </c>
      <c r="AC16" s="15">
        <f t="shared" si="5"/>
        <v>12</v>
      </c>
      <c r="AD16" s="15">
        <f t="shared" si="6"/>
        <v>12</v>
      </c>
      <c r="AE16" s="271"/>
    </row>
    <row r="17" spans="1:31" ht="36" x14ac:dyDescent="0.25">
      <c r="A17" s="237"/>
      <c r="B17" s="238"/>
      <c r="C17" s="228"/>
      <c r="D17" s="235"/>
      <c r="E17" s="228" t="s">
        <v>138</v>
      </c>
      <c r="F17" s="235" t="s">
        <v>85</v>
      </c>
      <c r="G17" s="62">
        <v>13</v>
      </c>
      <c r="H17" s="61" t="s">
        <v>86</v>
      </c>
      <c r="I17" s="235"/>
      <c r="J17" s="63"/>
      <c r="K17" s="63"/>
      <c r="L17" s="63"/>
      <c r="M17" s="63"/>
      <c r="N17" s="63"/>
      <c r="O17" s="47">
        <v>1</v>
      </c>
      <c r="P17" s="278"/>
      <c r="Q17" s="39">
        <v>0</v>
      </c>
      <c r="R17" s="47">
        <f t="shared" si="7"/>
        <v>1.2000000000000002</v>
      </c>
      <c r="S17" s="47">
        <f t="shared" si="8"/>
        <v>2.4000000000000004</v>
      </c>
      <c r="T17" s="47">
        <f t="shared" si="9"/>
        <v>3.5999999999999996</v>
      </c>
      <c r="U17" s="47">
        <f t="shared" si="10"/>
        <v>7.1999999999999993</v>
      </c>
      <c r="V17" s="39">
        <v>12</v>
      </c>
      <c r="W17" s="13"/>
      <c r="X17" s="15">
        <f t="shared" si="0"/>
        <v>0</v>
      </c>
      <c r="Y17" s="15">
        <f t="shared" si="1"/>
        <v>0</v>
      </c>
      <c r="Z17" s="15">
        <f t="shared" si="2"/>
        <v>0</v>
      </c>
      <c r="AA17" s="15">
        <f t="shared" si="3"/>
        <v>0</v>
      </c>
      <c r="AB17" s="15">
        <f t="shared" si="4"/>
        <v>0</v>
      </c>
      <c r="AC17" s="15">
        <f t="shared" si="5"/>
        <v>12</v>
      </c>
      <c r="AD17" s="15">
        <f t="shared" si="6"/>
        <v>12</v>
      </c>
      <c r="AE17" s="271"/>
    </row>
    <row r="18" spans="1:31" ht="36" x14ac:dyDescent="0.25">
      <c r="A18" s="237"/>
      <c r="B18" s="238"/>
      <c r="C18" s="228"/>
      <c r="D18" s="235"/>
      <c r="E18" s="228"/>
      <c r="F18" s="235"/>
      <c r="G18" s="62">
        <v>14</v>
      </c>
      <c r="H18" s="61" t="s">
        <v>87</v>
      </c>
      <c r="I18" s="235"/>
      <c r="J18" s="63"/>
      <c r="K18" s="63"/>
      <c r="L18" s="63"/>
      <c r="M18" s="63"/>
      <c r="N18" s="63"/>
      <c r="O18" s="47">
        <v>1</v>
      </c>
      <c r="P18" s="278"/>
      <c r="Q18" s="39">
        <v>0</v>
      </c>
      <c r="R18" s="47">
        <f t="shared" si="7"/>
        <v>1.2000000000000002</v>
      </c>
      <c r="S18" s="47">
        <f t="shared" si="8"/>
        <v>2.4000000000000004</v>
      </c>
      <c r="T18" s="47">
        <f t="shared" si="9"/>
        <v>3.5999999999999996</v>
      </c>
      <c r="U18" s="47">
        <f t="shared" si="10"/>
        <v>7.1999999999999993</v>
      </c>
      <c r="V18" s="39">
        <v>12</v>
      </c>
      <c r="W18" s="13"/>
      <c r="X18" s="15">
        <f t="shared" si="0"/>
        <v>0</v>
      </c>
      <c r="Y18" s="15">
        <f t="shared" si="1"/>
        <v>0</v>
      </c>
      <c r="Z18" s="15">
        <f t="shared" si="2"/>
        <v>0</v>
      </c>
      <c r="AA18" s="15">
        <f t="shared" si="3"/>
        <v>0</v>
      </c>
      <c r="AB18" s="15">
        <f t="shared" si="4"/>
        <v>0</v>
      </c>
      <c r="AC18" s="15">
        <f t="shared" si="5"/>
        <v>12</v>
      </c>
      <c r="AD18" s="15">
        <f t="shared" si="6"/>
        <v>12</v>
      </c>
      <c r="AE18" s="271"/>
    </row>
    <row r="19" spans="1:31" ht="48" x14ac:dyDescent="0.25">
      <c r="A19" s="237"/>
      <c r="B19" s="238"/>
      <c r="C19" s="228"/>
      <c r="D19" s="235"/>
      <c r="E19" s="60" t="s">
        <v>139</v>
      </c>
      <c r="F19" s="61" t="s">
        <v>221</v>
      </c>
      <c r="G19" s="62">
        <v>16</v>
      </c>
      <c r="H19" s="61" t="s">
        <v>222</v>
      </c>
      <c r="I19" s="235"/>
      <c r="J19" s="63"/>
      <c r="K19" s="63"/>
      <c r="L19" s="63"/>
      <c r="M19" s="63"/>
      <c r="N19" s="63"/>
      <c r="O19" s="47">
        <v>1</v>
      </c>
      <c r="P19" s="278"/>
      <c r="Q19" s="39">
        <v>0</v>
      </c>
      <c r="R19" s="47">
        <f t="shared" si="7"/>
        <v>1.2000000000000002</v>
      </c>
      <c r="S19" s="47">
        <f t="shared" si="8"/>
        <v>2.4000000000000004</v>
      </c>
      <c r="T19" s="47">
        <f t="shared" si="9"/>
        <v>3.5999999999999996</v>
      </c>
      <c r="U19" s="47">
        <f t="shared" si="10"/>
        <v>7.1999999999999993</v>
      </c>
      <c r="V19" s="39">
        <v>12</v>
      </c>
      <c r="W19" s="13"/>
      <c r="X19" s="15">
        <f t="shared" si="0"/>
        <v>0</v>
      </c>
      <c r="Y19" s="15">
        <f t="shared" si="1"/>
        <v>0</v>
      </c>
      <c r="Z19" s="15">
        <f t="shared" si="2"/>
        <v>0</v>
      </c>
      <c r="AA19" s="15">
        <f t="shared" si="3"/>
        <v>0</v>
      </c>
      <c r="AB19" s="15">
        <f t="shared" si="4"/>
        <v>0</v>
      </c>
      <c r="AC19" s="15">
        <f t="shared" si="5"/>
        <v>12</v>
      </c>
      <c r="AD19" s="15">
        <f t="shared" si="6"/>
        <v>12</v>
      </c>
      <c r="AE19" s="271"/>
    </row>
    <row r="20" spans="1:31" ht="48" x14ac:dyDescent="0.25">
      <c r="A20" s="237"/>
      <c r="B20" s="238"/>
      <c r="C20" s="228">
        <v>1.6</v>
      </c>
      <c r="D20" s="235" t="s">
        <v>6</v>
      </c>
      <c r="E20" s="228" t="s">
        <v>140</v>
      </c>
      <c r="F20" s="235" t="s">
        <v>88</v>
      </c>
      <c r="G20" s="62">
        <v>17</v>
      </c>
      <c r="H20" s="61" t="s">
        <v>89</v>
      </c>
      <c r="I20" s="235"/>
      <c r="J20" s="63"/>
      <c r="K20" s="63"/>
      <c r="L20" s="63"/>
      <c r="M20" s="63"/>
      <c r="N20" s="63"/>
      <c r="O20" s="47">
        <v>1</v>
      </c>
      <c r="P20" s="278"/>
      <c r="Q20" s="39">
        <v>0</v>
      </c>
      <c r="R20" s="47">
        <f t="shared" si="7"/>
        <v>1.2000000000000002</v>
      </c>
      <c r="S20" s="47">
        <f t="shared" si="8"/>
        <v>2.4000000000000004</v>
      </c>
      <c r="T20" s="47">
        <f t="shared" si="9"/>
        <v>3.5999999999999996</v>
      </c>
      <c r="U20" s="47">
        <f t="shared" si="10"/>
        <v>7.1999999999999993</v>
      </c>
      <c r="V20" s="39">
        <v>12</v>
      </c>
      <c r="W20" s="13"/>
      <c r="X20" s="15">
        <f t="shared" si="0"/>
        <v>0</v>
      </c>
      <c r="Y20" s="15">
        <f t="shared" si="1"/>
        <v>0</v>
      </c>
      <c r="Z20" s="15">
        <f t="shared" si="2"/>
        <v>0</v>
      </c>
      <c r="AA20" s="15">
        <f t="shared" si="3"/>
        <v>0</v>
      </c>
      <c r="AB20" s="15">
        <f t="shared" si="4"/>
        <v>0</v>
      </c>
      <c r="AC20" s="15">
        <f t="shared" si="5"/>
        <v>12</v>
      </c>
      <c r="AD20" s="15">
        <f t="shared" si="6"/>
        <v>12</v>
      </c>
      <c r="AE20" s="271"/>
    </row>
    <row r="21" spans="1:31" ht="36" x14ac:dyDescent="0.25">
      <c r="A21" s="237"/>
      <c r="B21" s="238"/>
      <c r="C21" s="228"/>
      <c r="D21" s="235"/>
      <c r="E21" s="228"/>
      <c r="F21" s="235"/>
      <c r="G21" s="62">
        <v>18</v>
      </c>
      <c r="H21" s="61" t="s">
        <v>369</v>
      </c>
      <c r="I21" s="235"/>
      <c r="J21" s="63"/>
      <c r="K21" s="63"/>
      <c r="L21" s="63"/>
      <c r="M21" s="63"/>
      <c r="N21" s="63"/>
      <c r="O21" s="47">
        <v>1</v>
      </c>
      <c r="P21" s="278"/>
      <c r="Q21" s="39">
        <v>0</v>
      </c>
      <c r="R21" s="47">
        <f t="shared" si="7"/>
        <v>1.2000000000000002</v>
      </c>
      <c r="S21" s="47">
        <f t="shared" si="8"/>
        <v>2.4000000000000004</v>
      </c>
      <c r="T21" s="47">
        <f t="shared" si="9"/>
        <v>3.5999999999999996</v>
      </c>
      <c r="U21" s="47">
        <f t="shared" si="10"/>
        <v>7.1999999999999993</v>
      </c>
      <c r="V21" s="39">
        <v>12</v>
      </c>
      <c r="W21" s="13"/>
      <c r="X21" s="15">
        <f t="shared" si="0"/>
        <v>0</v>
      </c>
      <c r="Y21" s="15">
        <f t="shared" si="1"/>
        <v>0</v>
      </c>
      <c r="Z21" s="15">
        <f t="shared" si="2"/>
        <v>0</v>
      </c>
      <c r="AA21" s="15">
        <f t="shared" si="3"/>
        <v>0</v>
      </c>
      <c r="AB21" s="15">
        <f t="shared" si="4"/>
        <v>0</v>
      </c>
      <c r="AC21" s="15">
        <f t="shared" si="5"/>
        <v>12</v>
      </c>
      <c r="AD21" s="15">
        <f t="shared" si="6"/>
        <v>12</v>
      </c>
      <c r="AE21" s="271"/>
    </row>
    <row r="22" spans="1:31" ht="60" x14ac:dyDescent="0.25">
      <c r="A22" s="237"/>
      <c r="B22" s="238"/>
      <c r="C22" s="228"/>
      <c r="D22" s="235"/>
      <c r="E22" s="228"/>
      <c r="F22" s="235"/>
      <c r="G22" s="62">
        <v>19</v>
      </c>
      <c r="H22" s="61" t="s">
        <v>90</v>
      </c>
      <c r="I22" s="235"/>
      <c r="J22" s="63"/>
      <c r="K22" s="63"/>
      <c r="L22" s="63"/>
      <c r="M22" s="63"/>
      <c r="N22" s="63"/>
      <c r="O22" s="47">
        <v>1</v>
      </c>
      <c r="P22" s="278"/>
      <c r="Q22" s="39">
        <v>0</v>
      </c>
      <c r="R22" s="47">
        <f t="shared" si="7"/>
        <v>1.2000000000000002</v>
      </c>
      <c r="S22" s="47">
        <f t="shared" si="8"/>
        <v>2.4000000000000004</v>
      </c>
      <c r="T22" s="47">
        <f t="shared" si="9"/>
        <v>3.5999999999999996</v>
      </c>
      <c r="U22" s="47">
        <f t="shared" si="10"/>
        <v>7.1999999999999993</v>
      </c>
      <c r="V22" s="39">
        <v>12</v>
      </c>
      <c r="W22" s="13"/>
      <c r="X22" s="15">
        <f t="shared" si="0"/>
        <v>0</v>
      </c>
      <c r="Y22" s="15">
        <f t="shared" si="1"/>
        <v>0</v>
      </c>
      <c r="Z22" s="15">
        <f t="shared" si="2"/>
        <v>0</v>
      </c>
      <c r="AA22" s="15">
        <f t="shared" si="3"/>
        <v>0</v>
      </c>
      <c r="AB22" s="15">
        <f t="shared" si="4"/>
        <v>0</v>
      </c>
      <c r="AC22" s="15">
        <f t="shared" si="5"/>
        <v>12</v>
      </c>
      <c r="AD22" s="15">
        <f t="shared" si="6"/>
        <v>12</v>
      </c>
      <c r="AE22" s="272"/>
    </row>
    <row r="23" spans="1:31" ht="76.5" customHeight="1" x14ac:dyDescent="0.25">
      <c r="A23" s="237">
        <v>2</v>
      </c>
      <c r="B23" s="236" t="s">
        <v>20</v>
      </c>
      <c r="C23" s="228">
        <v>2.1</v>
      </c>
      <c r="D23" s="235" t="s">
        <v>25</v>
      </c>
      <c r="E23" s="228" t="s">
        <v>141</v>
      </c>
      <c r="F23" s="235" t="s">
        <v>223</v>
      </c>
      <c r="G23" s="62">
        <v>1</v>
      </c>
      <c r="H23" s="61" t="s">
        <v>454</v>
      </c>
      <c r="I23" s="235" t="s">
        <v>240</v>
      </c>
      <c r="J23" s="63"/>
      <c r="K23" s="63"/>
      <c r="L23" s="63"/>
      <c r="M23" s="63"/>
      <c r="N23" s="63"/>
      <c r="O23" s="47">
        <v>1</v>
      </c>
      <c r="P23" s="278"/>
      <c r="Q23" s="39">
        <v>0</v>
      </c>
      <c r="R23" s="39">
        <f>26*0.1</f>
        <v>2.6</v>
      </c>
      <c r="S23" s="39">
        <f>26*0.2</f>
        <v>5.2</v>
      </c>
      <c r="T23" s="39">
        <f>26*0.3</f>
        <v>7.8</v>
      </c>
      <c r="U23" s="39">
        <f>26*0.6</f>
        <v>15.6</v>
      </c>
      <c r="V23" s="39">
        <f>26*1</f>
        <v>26</v>
      </c>
      <c r="W23" s="13"/>
      <c r="X23" s="15">
        <f t="shared" si="0"/>
        <v>0</v>
      </c>
      <c r="Y23" s="15">
        <f t="shared" si="1"/>
        <v>0</v>
      </c>
      <c r="Z23" s="15">
        <f t="shared" si="2"/>
        <v>0</v>
      </c>
      <c r="AA23" s="15">
        <f t="shared" si="3"/>
        <v>0</v>
      </c>
      <c r="AB23" s="15">
        <f t="shared" si="4"/>
        <v>0</v>
      </c>
      <c r="AC23" s="15">
        <f t="shared" si="5"/>
        <v>26</v>
      </c>
      <c r="AD23" s="15">
        <f t="shared" si="6"/>
        <v>26</v>
      </c>
      <c r="AE23" s="270">
        <f>SUM(AD23:AD28)</f>
        <v>156</v>
      </c>
    </row>
    <row r="24" spans="1:31" ht="84.75" customHeight="1" x14ac:dyDescent="0.25">
      <c r="A24" s="237"/>
      <c r="B24" s="236"/>
      <c r="C24" s="228"/>
      <c r="D24" s="235"/>
      <c r="E24" s="228"/>
      <c r="F24" s="235"/>
      <c r="G24" s="62">
        <v>2</v>
      </c>
      <c r="H24" s="61" t="s">
        <v>455</v>
      </c>
      <c r="I24" s="235"/>
      <c r="J24" s="63"/>
      <c r="K24" s="63"/>
      <c r="L24" s="63"/>
      <c r="M24" s="63"/>
      <c r="N24" s="63"/>
      <c r="O24" s="47">
        <v>1</v>
      </c>
      <c r="P24" s="278"/>
      <c r="Q24" s="39">
        <v>0</v>
      </c>
      <c r="R24" s="47">
        <f t="shared" ref="R24:R28" si="11">26*0.1</f>
        <v>2.6</v>
      </c>
      <c r="S24" s="47">
        <f t="shared" ref="S24:S28" si="12">26*0.2</f>
        <v>5.2</v>
      </c>
      <c r="T24" s="47">
        <f t="shared" ref="T24:T28" si="13">26*0.3</f>
        <v>7.8</v>
      </c>
      <c r="U24" s="47">
        <f t="shared" ref="U24:U28" si="14">26*0.6</f>
        <v>15.6</v>
      </c>
      <c r="V24" s="47">
        <f t="shared" ref="V24:V28" si="15">26*1</f>
        <v>26</v>
      </c>
      <c r="W24" s="13"/>
      <c r="X24" s="15">
        <f t="shared" si="0"/>
        <v>0</v>
      </c>
      <c r="Y24" s="15">
        <f t="shared" si="1"/>
        <v>0</v>
      </c>
      <c r="Z24" s="15">
        <f t="shared" si="2"/>
        <v>0</v>
      </c>
      <c r="AA24" s="15">
        <f t="shared" si="3"/>
        <v>0</v>
      </c>
      <c r="AB24" s="15">
        <f t="shared" si="4"/>
        <v>0</v>
      </c>
      <c r="AC24" s="15">
        <f t="shared" si="5"/>
        <v>26</v>
      </c>
      <c r="AD24" s="15">
        <f t="shared" si="6"/>
        <v>26</v>
      </c>
      <c r="AE24" s="271"/>
    </row>
    <row r="25" spans="1:31" ht="77.25" customHeight="1" x14ac:dyDescent="0.25">
      <c r="A25" s="237"/>
      <c r="B25" s="236"/>
      <c r="C25" s="228"/>
      <c r="D25" s="235"/>
      <c r="E25" s="228"/>
      <c r="F25" s="235"/>
      <c r="G25" s="62">
        <v>3</v>
      </c>
      <c r="H25" s="61" t="s">
        <v>91</v>
      </c>
      <c r="I25" s="235"/>
      <c r="J25" s="63"/>
      <c r="K25" s="63"/>
      <c r="L25" s="63"/>
      <c r="M25" s="63"/>
      <c r="N25" s="63"/>
      <c r="O25" s="47">
        <v>1</v>
      </c>
      <c r="P25" s="278"/>
      <c r="Q25" s="39">
        <v>0</v>
      </c>
      <c r="R25" s="47">
        <f t="shared" si="11"/>
        <v>2.6</v>
      </c>
      <c r="S25" s="47">
        <f t="shared" si="12"/>
        <v>5.2</v>
      </c>
      <c r="T25" s="47">
        <f t="shared" si="13"/>
        <v>7.8</v>
      </c>
      <c r="U25" s="47">
        <f t="shared" si="14"/>
        <v>15.6</v>
      </c>
      <c r="V25" s="47">
        <f t="shared" si="15"/>
        <v>26</v>
      </c>
      <c r="W25" s="13"/>
      <c r="X25" s="15">
        <f t="shared" si="0"/>
        <v>0</v>
      </c>
      <c r="Y25" s="15">
        <f t="shared" si="1"/>
        <v>0</v>
      </c>
      <c r="Z25" s="15">
        <f t="shared" si="2"/>
        <v>0</v>
      </c>
      <c r="AA25" s="15">
        <f t="shared" si="3"/>
        <v>0</v>
      </c>
      <c r="AB25" s="15">
        <f t="shared" si="4"/>
        <v>0</v>
      </c>
      <c r="AC25" s="15">
        <f t="shared" si="5"/>
        <v>26</v>
      </c>
      <c r="AD25" s="15">
        <f t="shared" si="6"/>
        <v>26</v>
      </c>
      <c r="AE25" s="271"/>
    </row>
    <row r="26" spans="1:31" ht="60" customHeight="1" x14ac:dyDescent="0.25">
      <c r="A26" s="237"/>
      <c r="B26" s="236"/>
      <c r="C26" s="69">
        <v>2.2000000000000002</v>
      </c>
      <c r="D26" s="70" t="s">
        <v>26</v>
      </c>
      <c r="E26" s="69" t="s">
        <v>142</v>
      </c>
      <c r="F26" s="70" t="s">
        <v>93</v>
      </c>
      <c r="G26" s="62">
        <v>4</v>
      </c>
      <c r="H26" s="61" t="s">
        <v>92</v>
      </c>
      <c r="I26" s="235"/>
      <c r="J26" s="63"/>
      <c r="K26" s="63"/>
      <c r="L26" s="63"/>
      <c r="M26" s="63"/>
      <c r="N26" s="63"/>
      <c r="O26" s="47">
        <v>1</v>
      </c>
      <c r="P26" s="278"/>
      <c r="Q26" s="39">
        <v>0</v>
      </c>
      <c r="R26" s="47">
        <f t="shared" si="11"/>
        <v>2.6</v>
      </c>
      <c r="S26" s="47">
        <f t="shared" si="12"/>
        <v>5.2</v>
      </c>
      <c r="T26" s="47">
        <f t="shared" si="13"/>
        <v>7.8</v>
      </c>
      <c r="U26" s="47">
        <f t="shared" si="14"/>
        <v>15.6</v>
      </c>
      <c r="V26" s="47">
        <f t="shared" si="15"/>
        <v>26</v>
      </c>
      <c r="W26" s="13"/>
      <c r="X26" s="15">
        <f t="shared" si="0"/>
        <v>0</v>
      </c>
      <c r="Y26" s="15">
        <f t="shared" si="1"/>
        <v>0</v>
      </c>
      <c r="Z26" s="15">
        <f t="shared" si="2"/>
        <v>0</v>
      </c>
      <c r="AA26" s="15">
        <f t="shared" si="3"/>
        <v>0</v>
      </c>
      <c r="AB26" s="15">
        <f t="shared" si="4"/>
        <v>0</v>
      </c>
      <c r="AC26" s="15">
        <f t="shared" si="5"/>
        <v>26</v>
      </c>
      <c r="AD26" s="15">
        <f t="shared" si="6"/>
        <v>26</v>
      </c>
      <c r="AE26" s="271"/>
    </row>
    <row r="27" spans="1:31" ht="45.75" customHeight="1" x14ac:dyDescent="0.25">
      <c r="A27" s="237"/>
      <c r="B27" s="236"/>
      <c r="C27" s="60">
        <v>2.2999999999999998</v>
      </c>
      <c r="D27" s="61" t="s">
        <v>27</v>
      </c>
      <c r="E27" s="60" t="s">
        <v>143</v>
      </c>
      <c r="F27" s="71" t="s">
        <v>94</v>
      </c>
      <c r="G27" s="62">
        <v>5</v>
      </c>
      <c r="H27" s="61" t="s">
        <v>376</v>
      </c>
      <c r="I27" s="235"/>
      <c r="J27" s="63"/>
      <c r="K27" s="63"/>
      <c r="L27" s="63"/>
      <c r="M27" s="63"/>
      <c r="N27" s="63"/>
      <c r="O27" s="47">
        <v>1</v>
      </c>
      <c r="P27" s="278"/>
      <c r="Q27" s="39">
        <v>0</v>
      </c>
      <c r="R27" s="47">
        <f t="shared" si="11"/>
        <v>2.6</v>
      </c>
      <c r="S27" s="47">
        <f t="shared" si="12"/>
        <v>5.2</v>
      </c>
      <c r="T27" s="47">
        <f t="shared" si="13"/>
        <v>7.8</v>
      </c>
      <c r="U27" s="47">
        <f t="shared" si="14"/>
        <v>15.6</v>
      </c>
      <c r="V27" s="47">
        <f t="shared" si="15"/>
        <v>26</v>
      </c>
      <c r="W27" s="13"/>
      <c r="X27" s="15">
        <f>J27*Q27</f>
        <v>0</v>
      </c>
      <c r="Y27" s="15">
        <f>K27*R27</f>
        <v>0</v>
      </c>
      <c r="Z27" s="15">
        <f>L27*S27</f>
        <v>0</v>
      </c>
      <c r="AA27" s="15">
        <f>M27*T27</f>
        <v>0</v>
      </c>
      <c r="AB27" s="15">
        <f t="shared" ref="Y27:AC28" si="16">N27*U27</f>
        <v>0</v>
      </c>
      <c r="AC27" s="15">
        <f t="shared" si="16"/>
        <v>26</v>
      </c>
      <c r="AD27" s="15">
        <f t="shared" si="6"/>
        <v>26</v>
      </c>
      <c r="AE27" s="271"/>
    </row>
    <row r="28" spans="1:31" ht="54" customHeight="1" x14ac:dyDescent="0.25">
      <c r="A28" s="237"/>
      <c r="B28" s="236"/>
      <c r="C28" s="60">
        <v>2.4</v>
      </c>
      <c r="D28" s="61" t="s">
        <v>28</v>
      </c>
      <c r="E28" s="60" t="s">
        <v>144</v>
      </c>
      <c r="F28" s="61" t="s">
        <v>29</v>
      </c>
      <c r="G28" s="62">
        <v>6</v>
      </c>
      <c r="H28" s="61" t="s">
        <v>95</v>
      </c>
      <c r="I28" s="235"/>
      <c r="J28" s="63"/>
      <c r="K28" s="63"/>
      <c r="L28" s="63"/>
      <c r="M28" s="63"/>
      <c r="N28" s="63"/>
      <c r="O28" s="47">
        <v>1</v>
      </c>
      <c r="P28" s="278"/>
      <c r="Q28" s="39">
        <v>0</v>
      </c>
      <c r="R28" s="47">
        <f t="shared" si="11"/>
        <v>2.6</v>
      </c>
      <c r="S28" s="47">
        <f t="shared" si="12"/>
        <v>5.2</v>
      </c>
      <c r="T28" s="47">
        <f t="shared" si="13"/>
        <v>7.8</v>
      </c>
      <c r="U28" s="47">
        <f t="shared" si="14"/>
        <v>15.6</v>
      </c>
      <c r="V28" s="47">
        <f t="shared" si="15"/>
        <v>26</v>
      </c>
      <c r="W28" s="13"/>
      <c r="X28" s="15">
        <f t="shared" ref="X28" si="17">J28*Q28</f>
        <v>0</v>
      </c>
      <c r="Y28" s="15">
        <f t="shared" si="16"/>
        <v>0</v>
      </c>
      <c r="Z28" s="15">
        <f t="shared" si="16"/>
        <v>0</v>
      </c>
      <c r="AA28" s="15">
        <f t="shared" si="16"/>
        <v>0</v>
      </c>
      <c r="AB28" s="15">
        <f t="shared" ref="AB28:AB57" si="18">N28*U28</f>
        <v>0</v>
      </c>
      <c r="AC28" s="15">
        <f t="shared" si="16"/>
        <v>26</v>
      </c>
      <c r="AD28" s="15">
        <f t="shared" si="6"/>
        <v>26</v>
      </c>
      <c r="AE28" s="272"/>
    </row>
    <row r="29" spans="1:31" ht="60" x14ac:dyDescent="0.25">
      <c r="A29" s="237">
        <v>3</v>
      </c>
      <c r="B29" s="236" t="s">
        <v>30</v>
      </c>
      <c r="C29" s="60">
        <v>3.1</v>
      </c>
      <c r="D29" s="61" t="s">
        <v>31</v>
      </c>
      <c r="E29" s="60" t="s">
        <v>145</v>
      </c>
      <c r="F29" s="61" t="s">
        <v>32</v>
      </c>
      <c r="G29" s="62">
        <v>1</v>
      </c>
      <c r="H29" s="72" t="s">
        <v>419</v>
      </c>
      <c r="I29" s="229" t="s">
        <v>241</v>
      </c>
      <c r="J29" s="63"/>
      <c r="K29" s="63"/>
      <c r="L29" s="63"/>
      <c r="M29" s="63"/>
      <c r="N29" s="63"/>
      <c r="O29" s="47">
        <v>1</v>
      </c>
      <c r="P29" s="278"/>
      <c r="Q29" s="39">
        <v>0</v>
      </c>
      <c r="R29" s="39">
        <f>17*0.1</f>
        <v>1.7000000000000002</v>
      </c>
      <c r="S29" s="39">
        <f>17*0.2</f>
        <v>3.4000000000000004</v>
      </c>
      <c r="T29" s="39">
        <f>17*0.3</f>
        <v>5.0999999999999996</v>
      </c>
      <c r="U29" s="39">
        <f>17*0.6</f>
        <v>10.199999999999999</v>
      </c>
      <c r="V29" s="39">
        <f>17*1</f>
        <v>17</v>
      </c>
      <c r="W29" s="13"/>
      <c r="X29" s="15">
        <f t="shared" ref="X29:X58" si="19">J29*Q29</f>
        <v>0</v>
      </c>
      <c r="Y29" s="15">
        <f t="shared" ref="Y29:Y58" si="20">K29*R29</f>
        <v>0</v>
      </c>
      <c r="Z29" s="15">
        <f t="shared" ref="Z29:Z58" si="21">L29*S29</f>
        <v>0</v>
      </c>
      <c r="AA29" s="15">
        <f t="shared" ref="AA29:AA58" si="22">M29*T29</f>
        <v>0</v>
      </c>
      <c r="AB29" s="15">
        <f t="shared" si="18"/>
        <v>0</v>
      </c>
      <c r="AC29" s="15">
        <f t="shared" ref="AC29:AC58" si="23">O29*V29</f>
        <v>17</v>
      </c>
      <c r="AD29" s="15">
        <f t="shared" si="6"/>
        <v>17</v>
      </c>
      <c r="AE29" s="270">
        <f>SUM(AD29:AD43)</f>
        <v>255</v>
      </c>
    </row>
    <row r="30" spans="1:31" ht="36" x14ac:dyDescent="0.25">
      <c r="A30" s="237"/>
      <c r="B30" s="236"/>
      <c r="C30" s="228">
        <v>3.2</v>
      </c>
      <c r="D30" s="235" t="s">
        <v>33</v>
      </c>
      <c r="E30" s="228" t="s">
        <v>146</v>
      </c>
      <c r="F30" s="235" t="s">
        <v>224</v>
      </c>
      <c r="G30" s="62">
        <v>1</v>
      </c>
      <c r="H30" s="61" t="s">
        <v>96</v>
      </c>
      <c r="I30" s="230"/>
      <c r="J30" s="63"/>
      <c r="K30" s="63"/>
      <c r="L30" s="63"/>
      <c r="M30" s="63"/>
      <c r="N30" s="63"/>
      <c r="O30" s="47">
        <v>1</v>
      </c>
      <c r="P30" s="278"/>
      <c r="Q30" s="39">
        <v>0</v>
      </c>
      <c r="R30" s="47">
        <f t="shared" ref="R30:R43" si="24">17*0.1</f>
        <v>1.7000000000000002</v>
      </c>
      <c r="S30" s="47">
        <f t="shared" ref="S30:S43" si="25">17*0.2</f>
        <v>3.4000000000000004</v>
      </c>
      <c r="T30" s="47">
        <f t="shared" ref="T30:T43" si="26">17*0.3</f>
        <v>5.0999999999999996</v>
      </c>
      <c r="U30" s="47">
        <f t="shared" ref="U30:U43" si="27">17*0.6</f>
        <v>10.199999999999999</v>
      </c>
      <c r="V30" s="47">
        <f t="shared" ref="V30:V43" si="28">17*1</f>
        <v>17</v>
      </c>
      <c r="W30" s="13"/>
      <c r="X30" s="15">
        <f t="shared" si="19"/>
        <v>0</v>
      </c>
      <c r="Y30" s="15">
        <f t="shared" si="20"/>
        <v>0</v>
      </c>
      <c r="Z30" s="15">
        <f t="shared" si="21"/>
        <v>0</v>
      </c>
      <c r="AA30" s="15">
        <f t="shared" si="22"/>
        <v>0</v>
      </c>
      <c r="AB30" s="15">
        <f t="shared" si="18"/>
        <v>0</v>
      </c>
      <c r="AC30" s="15">
        <f t="shared" si="23"/>
        <v>17</v>
      </c>
      <c r="AD30" s="15">
        <f t="shared" si="6"/>
        <v>17</v>
      </c>
      <c r="AE30" s="271"/>
    </row>
    <row r="31" spans="1:31" ht="48" x14ac:dyDescent="0.25">
      <c r="A31" s="237"/>
      <c r="B31" s="236"/>
      <c r="C31" s="228"/>
      <c r="D31" s="235"/>
      <c r="E31" s="228"/>
      <c r="F31" s="235"/>
      <c r="G31" s="62">
        <v>2</v>
      </c>
      <c r="H31" s="61" t="s">
        <v>97</v>
      </c>
      <c r="I31" s="230"/>
      <c r="J31" s="63"/>
      <c r="K31" s="63"/>
      <c r="L31" s="63"/>
      <c r="M31" s="63"/>
      <c r="N31" s="63"/>
      <c r="O31" s="47">
        <v>1</v>
      </c>
      <c r="P31" s="278"/>
      <c r="Q31" s="39">
        <v>0</v>
      </c>
      <c r="R31" s="47">
        <f t="shared" si="24"/>
        <v>1.7000000000000002</v>
      </c>
      <c r="S31" s="47">
        <f t="shared" si="25"/>
        <v>3.4000000000000004</v>
      </c>
      <c r="T31" s="47">
        <f t="shared" si="26"/>
        <v>5.0999999999999996</v>
      </c>
      <c r="U31" s="47">
        <f t="shared" si="27"/>
        <v>10.199999999999999</v>
      </c>
      <c r="V31" s="47">
        <f t="shared" si="28"/>
        <v>17</v>
      </c>
      <c r="W31" s="13"/>
      <c r="X31" s="15">
        <f t="shared" si="19"/>
        <v>0</v>
      </c>
      <c r="Y31" s="15">
        <f t="shared" si="20"/>
        <v>0</v>
      </c>
      <c r="Z31" s="15">
        <f t="shared" si="21"/>
        <v>0</v>
      </c>
      <c r="AA31" s="15">
        <f t="shared" si="22"/>
        <v>0</v>
      </c>
      <c r="AB31" s="15">
        <f t="shared" si="18"/>
        <v>0</v>
      </c>
      <c r="AC31" s="15">
        <f t="shared" si="23"/>
        <v>17</v>
      </c>
      <c r="AD31" s="15">
        <f t="shared" si="6"/>
        <v>17</v>
      </c>
      <c r="AE31" s="271"/>
    </row>
    <row r="32" spans="1:31" ht="24" x14ac:dyDescent="0.25">
      <c r="A32" s="237"/>
      <c r="B32" s="236"/>
      <c r="C32" s="228"/>
      <c r="D32" s="235"/>
      <c r="E32" s="228"/>
      <c r="F32" s="235"/>
      <c r="G32" s="62">
        <v>3</v>
      </c>
      <c r="H32" s="61" t="s">
        <v>225</v>
      </c>
      <c r="I32" s="230"/>
      <c r="J32" s="63"/>
      <c r="K32" s="63"/>
      <c r="L32" s="63"/>
      <c r="M32" s="63"/>
      <c r="N32" s="63"/>
      <c r="O32" s="47">
        <v>1</v>
      </c>
      <c r="P32" s="278"/>
      <c r="Q32" s="39">
        <v>0</v>
      </c>
      <c r="R32" s="47">
        <f t="shared" si="24"/>
        <v>1.7000000000000002</v>
      </c>
      <c r="S32" s="47">
        <f t="shared" si="25"/>
        <v>3.4000000000000004</v>
      </c>
      <c r="T32" s="47">
        <f t="shared" si="26"/>
        <v>5.0999999999999996</v>
      </c>
      <c r="U32" s="47">
        <f t="shared" si="27"/>
        <v>10.199999999999999</v>
      </c>
      <c r="V32" s="47">
        <f t="shared" si="28"/>
        <v>17</v>
      </c>
      <c r="W32" s="13"/>
      <c r="X32" s="15">
        <f t="shared" si="19"/>
        <v>0</v>
      </c>
      <c r="Y32" s="15">
        <f t="shared" si="20"/>
        <v>0</v>
      </c>
      <c r="Z32" s="15">
        <f t="shared" si="21"/>
        <v>0</v>
      </c>
      <c r="AA32" s="15">
        <f t="shared" si="22"/>
        <v>0</v>
      </c>
      <c r="AB32" s="15">
        <f t="shared" si="18"/>
        <v>0</v>
      </c>
      <c r="AC32" s="15">
        <f t="shared" si="23"/>
        <v>17</v>
      </c>
      <c r="AD32" s="15">
        <f t="shared" si="6"/>
        <v>17</v>
      </c>
      <c r="AE32" s="271"/>
    </row>
    <row r="33" spans="1:31" ht="60" x14ac:dyDescent="0.25">
      <c r="A33" s="237"/>
      <c r="B33" s="236"/>
      <c r="C33" s="228"/>
      <c r="D33" s="235"/>
      <c r="E33" s="228" t="s">
        <v>146</v>
      </c>
      <c r="F33" s="235" t="s">
        <v>98</v>
      </c>
      <c r="G33" s="62">
        <v>5</v>
      </c>
      <c r="H33" s="61" t="s">
        <v>420</v>
      </c>
      <c r="I33" s="230"/>
      <c r="J33" s="63"/>
      <c r="K33" s="63"/>
      <c r="L33" s="63"/>
      <c r="M33" s="63"/>
      <c r="N33" s="63"/>
      <c r="O33" s="47">
        <v>1</v>
      </c>
      <c r="P33" s="278"/>
      <c r="Q33" s="39">
        <v>0</v>
      </c>
      <c r="R33" s="47">
        <f t="shared" si="24"/>
        <v>1.7000000000000002</v>
      </c>
      <c r="S33" s="47">
        <f t="shared" si="25"/>
        <v>3.4000000000000004</v>
      </c>
      <c r="T33" s="47">
        <f t="shared" si="26"/>
        <v>5.0999999999999996</v>
      </c>
      <c r="U33" s="47">
        <f t="shared" si="27"/>
        <v>10.199999999999999</v>
      </c>
      <c r="V33" s="47">
        <f t="shared" si="28"/>
        <v>17</v>
      </c>
      <c r="W33" s="13"/>
      <c r="X33" s="15">
        <f t="shared" si="19"/>
        <v>0</v>
      </c>
      <c r="Y33" s="15">
        <f t="shared" si="20"/>
        <v>0</v>
      </c>
      <c r="Z33" s="15">
        <f t="shared" si="21"/>
        <v>0</v>
      </c>
      <c r="AA33" s="15">
        <f t="shared" si="22"/>
        <v>0</v>
      </c>
      <c r="AB33" s="15">
        <f t="shared" si="18"/>
        <v>0</v>
      </c>
      <c r="AC33" s="15">
        <f t="shared" si="23"/>
        <v>17</v>
      </c>
      <c r="AD33" s="15">
        <f t="shared" si="6"/>
        <v>17</v>
      </c>
      <c r="AE33" s="271"/>
    </row>
    <row r="34" spans="1:31" ht="36" customHeight="1" x14ac:dyDescent="0.25">
      <c r="A34" s="237"/>
      <c r="B34" s="236"/>
      <c r="C34" s="228"/>
      <c r="D34" s="235"/>
      <c r="E34" s="228"/>
      <c r="F34" s="235"/>
      <c r="G34" s="62">
        <v>6</v>
      </c>
      <c r="H34" s="61" t="s">
        <v>421</v>
      </c>
      <c r="I34" s="231"/>
      <c r="J34" s="63"/>
      <c r="K34" s="63"/>
      <c r="L34" s="63"/>
      <c r="M34" s="63"/>
      <c r="N34" s="63"/>
      <c r="O34" s="47">
        <v>1</v>
      </c>
      <c r="P34" s="278"/>
      <c r="Q34" s="39">
        <v>0</v>
      </c>
      <c r="R34" s="47">
        <f t="shared" si="24"/>
        <v>1.7000000000000002</v>
      </c>
      <c r="S34" s="47">
        <f t="shared" si="25"/>
        <v>3.4000000000000004</v>
      </c>
      <c r="T34" s="47">
        <f t="shared" si="26"/>
        <v>5.0999999999999996</v>
      </c>
      <c r="U34" s="47">
        <f t="shared" si="27"/>
        <v>10.199999999999999</v>
      </c>
      <c r="V34" s="47">
        <f t="shared" si="28"/>
        <v>17</v>
      </c>
      <c r="W34" s="13"/>
      <c r="X34" s="15">
        <f t="shared" si="19"/>
        <v>0</v>
      </c>
      <c r="Y34" s="15">
        <f t="shared" si="20"/>
        <v>0</v>
      </c>
      <c r="Z34" s="15">
        <f t="shared" si="21"/>
        <v>0</v>
      </c>
      <c r="AA34" s="15">
        <f t="shared" si="22"/>
        <v>0</v>
      </c>
      <c r="AB34" s="15">
        <f t="shared" si="18"/>
        <v>0</v>
      </c>
      <c r="AC34" s="15">
        <f t="shared" si="23"/>
        <v>17</v>
      </c>
      <c r="AD34" s="15">
        <f t="shared" si="6"/>
        <v>17</v>
      </c>
      <c r="AE34" s="271"/>
    </row>
    <row r="35" spans="1:31" ht="35.25" customHeight="1" x14ac:dyDescent="0.25">
      <c r="A35" s="237"/>
      <c r="B35" s="236"/>
      <c r="C35" s="228">
        <v>3.3</v>
      </c>
      <c r="D35" s="235" t="s">
        <v>34</v>
      </c>
      <c r="E35" s="62" t="s">
        <v>147</v>
      </c>
      <c r="F35" s="61" t="s">
        <v>99</v>
      </c>
      <c r="G35" s="64">
        <v>7</v>
      </c>
      <c r="H35" s="65" t="s">
        <v>35</v>
      </c>
      <c r="I35" s="229" t="s">
        <v>242</v>
      </c>
      <c r="J35" s="63"/>
      <c r="K35" s="63"/>
      <c r="L35" s="63"/>
      <c r="M35" s="63"/>
      <c r="N35" s="63"/>
      <c r="O35" s="47">
        <v>1</v>
      </c>
      <c r="P35" s="278"/>
      <c r="Q35" s="47">
        <v>0</v>
      </c>
      <c r="R35" s="47">
        <f t="shared" si="24"/>
        <v>1.7000000000000002</v>
      </c>
      <c r="S35" s="47">
        <f t="shared" si="25"/>
        <v>3.4000000000000004</v>
      </c>
      <c r="T35" s="47">
        <f t="shared" si="26"/>
        <v>5.0999999999999996</v>
      </c>
      <c r="U35" s="47">
        <f t="shared" si="27"/>
        <v>10.199999999999999</v>
      </c>
      <c r="V35" s="47">
        <f t="shared" si="28"/>
        <v>17</v>
      </c>
      <c r="W35" s="13"/>
      <c r="X35" s="15">
        <f t="shared" si="19"/>
        <v>0</v>
      </c>
      <c r="Y35" s="15">
        <f t="shared" si="20"/>
        <v>0</v>
      </c>
      <c r="Z35" s="15">
        <f t="shared" si="21"/>
        <v>0</v>
      </c>
      <c r="AA35" s="15">
        <f t="shared" si="22"/>
        <v>0</v>
      </c>
      <c r="AB35" s="15">
        <f t="shared" si="18"/>
        <v>0</v>
      </c>
      <c r="AC35" s="15">
        <f t="shared" si="23"/>
        <v>17</v>
      </c>
      <c r="AD35" s="15">
        <f t="shared" si="6"/>
        <v>17</v>
      </c>
      <c r="AE35" s="271"/>
    </row>
    <row r="36" spans="1:31" ht="35.25" customHeight="1" x14ac:dyDescent="0.25">
      <c r="A36" s="237"/>
      <c r="B36" s="236"/>
      <c r="C36" s="228"/>
      <c r="D36" s="235"/>
      <c r="E36" s="228" t="s">
        <v>148</v>
      </c>
      <c r="F36" s="235" t="s">
        <v>100</v>
      </c>
      <c r="G36" s="62">
        <v>9</v>
      </c>
      <c r="H36" s="61" t="s">
        <v>36</v>
      </c>
      <c r="I36" s="230"/>
      <c r="J36" s="63"/>
      <c r="K36" s="63"/>
      <c r="L36" s="63"/>
      <c r="M36" s="63"/>
      <c r="N36" s="63"/>
      <c r="O36" s="47">
        <v>1</v>
      </c>
      <c r="P36" s="278"/>
      <c r="Q36" s="39">
        <v>0</v>
      </c>
      <c r="R36" s="47">
        <f t="shared" si="24"/>
        <v>1.7000000000000002</v>
      </c>
      <c r="S36" s="47">
        <f t="shared" si="25"/>
        <v>3.4000000000000004</v>
      </c>
      <c r="T36" s="47">
        <f t="shared" si="26"/>
        <v>5.0999999999999996</v>
      </c>
      <c r="U36" s="47">
        <f t="shared" si="27"/>
        <v>10.199999999999999</v>
      </c>
      <c r="V36" s="47">
        <f t="shared" si="28"/>
        <v>17</v>
      </c>
      <c r="W36" s="13"/>
      <c r="X36" s="15">
        <f t="shared" si="19"/>
        <v>0</v>
      </c>
      <c r="Y36" s="15">
        <f t="shared" si="20"/>
        <v>0</v>
      </c>
      <c r="Z36" s="15">
        <f t="shared" si="21"/>
        <v>0</v>
      </c>
      <c r="AA36" s="15">
        <f t="shared" si="22"/>
        <v>0</v>
      </c>
      <c r="AB36" s="15">
        <f t="shared" si="18"/>
        <v>0</v>
      </c>
      <c r="AC36" s="15">
        <f t="shared" si="23"/>
        <v>17</v>
      </c>
      <c r="AD36" s="15">
        <f t="shared" ref="AD36:AD61" si="29">X36+Y36+Z36+AA36+AB36+AC36</f>
        <v>17</v>
      </c>
      <c r="AE36" s="271"/>
    </row>
    <row r="37" spans="1:31" ht="35.25" customHeight="1" x14ac:dyDescent="0.25">
      <c r="A37" s="237"/>
      <c r="B37" s="236"/>
      <c r="C37" s="228"/>
      <c r="D37" s="235"/>
      <c r="E37" s="228"/>
      <c r="F37" s="235"/>
      <c r="G37" s="62">
        <v>10</v>
      </c>
      <c r="H37" s="61" t="s">
        <v>377</v>
      </c>
      <c r="I37" s="230"/>
      <c r="J37" s="63"/>
      <c r="K37" s="63"/>
      <c r="L37" s="63"/>
      <c r="M37" s="63"/>
      <c r="N37" s="63"/>
      <c r="O37" s="47">
        <v>1</v>
      </c>
      <c r="P37" s="278"/>
      <c r="Q37" s="39">
        <v>0</v>
      </c>
      <c r="R37" s="47">
        <f t="shared" si="24"/>
        <v>1.7000000000000002</v>
      </c>
      <c r="S37" s="47">
        <f t="shared" si="25"/>
        <v>3.4000000000000004</v>
      </c>
      <c r="T37" s="47">
        <f t="shared" si="26"/>
        <v>5.0999999999999996</v>
      </c>
      <c r="U37" s="47">
        <f t="shared" si="27"/>
        <v>10.199999999999999</v>
      </c>
      <c r="V37" s="47">
        <f t="shared" si="28"/>
        <v>17</v>
      </c>
      <c r="W37" s="13"/>
      <c r="X37" s="15">
        <f t="shared" si="19"/>
        <v>0</v>
      </c>
      <c r="Y37" s="15">
        <f t="shared" si="20"/>
        <v>0</v>
      </c>
      <c r="Z37" s="15">
        <f t="shared" si="21"/>
        <v>0</v>
      </c>
      <c r="AA37" s="15">
        <f t="shared" si="22"/>
        <v>0</v>
      </c>
      <c r="AB37" s="15">
        <f t="shared" si="18"/>
        <v>0</v>
      </c>
      <c r="AC37" s="15">
        <f t="shared" si="23"/>
        <v>17</v>
      </c>
      <c r="AD37" s="15">
        <f t="shared" si="29"/>
        <v>17</v>
      </c>
      <c r="AE37" s="271"/>
    </row>
    <row r="38" spans="1:31" ht="40.5" customHeight="1" x14ac:dyDescent="0.25">
      <c r="A38" s="237"/>
      <c r="B38" s="236"/>
      <c r="C38" s="228"/>
      <c r="D38" s="235"/>
      <c r="E38" s="228"/>
      <c r="F38" s="235"/>
      <c r="G38" s="62">
        <v>11</v>
      </c>
      <c r="H38" s="61" t="s">
        <v>37</v>
      </c>
      <c r="I38" s="231"/>
      <c r="J38" s="63"/>
      <c r="K38" s="63"/>
      <c r="L38" s="63"/>
      <c r="M38" s="63"/>
      <c r="N38" s="63"/>
      <c r="O38" s="47">
        <v>1</v>
      </c>
      <c r="P38" s="278"/>
      <c r="Q38" s="39">
        <v>0</v>
      </c>
      <c r="R38" s="47">
        <f t="shared" si="24"/>
        <v>1.7000000000000002</v>
      </c>
      <c r="S38" s="47">
        <f t="shared" si="25"/>
        <v>3.4000000000000004</v>
      </c>
      <c r="T38" s="47">
        <f t="shared" si="26"/>
        <v>5.0999999999999996</v>
      </c>
      <c r="U38" s="47">
        <f t="shared" si="27"/>
        <v>10.199999999999999</v>
      </c>
      <c r="V38" s="47">
        <f t="shared" si="28"/>
        <v>17</v>
      </c>
      <c r="W38" s="13"/>
      <c r="X38" s="15">
        <f t="shared" si="19"/>
        <v>0</v>
      </c>
      <c r="Y38" s="15">
        <f t="shared" si="20"/>
        <v>0</v>
      </c>
      <c r="Z38" s="15">
        <f t="shared" si="21"/>
        <v>0</v>
      </c>
      <c r="AA38" s="15">
        <f t="shared" si="22"/>
        <v>0</v>
      </c>
      <c r="AB38" s="15">
        <f t="shared" si="18"/>
        <v>0</v>
      </c>
      <c r="AC38" s="15">
        <f t="shared" si="23"/>
        <v>17</v>
      </c>
      <c r="AD38" s="15">
        <f t="shared" si="29"/>
        <v>17</v>
      </c>
      <c r="AE38" s="271"/>
    </row>
    <row r="39" spans="1:31" ht="29.25" customHeight="1" x14ac:dyDescent="0.25">
      <c r="A39" s="237"/>
      <c r="B39" s="236"/>
      <c r="C39" s="228">
        <v>3.4</v>
      </c>
      <c r="D39" s="235" t="s">
        <v>38</v>
      </c>
      <c r="E39" s="228" t="s">
        <v>149</v>
      </c>
      <c r="F39" s="235" t="s">
        <v>101</v>
      </c>
      <c r="G39" s="62">
        <v>12</v>
      </c>
      <c r="H39" s="61" t="s">
        <v>102</v>
      </c>
      <c r="I39" s="273" t="s">
        <v>243</v>
      </c>
      <c r="J39" s="63"/>
      <c r="K39" s="63"/>
      <c r="L39" s="63"/>
      <c r="M39" s="63"/>
      <c r="N39" s="63"/>
      <c r="O39" s="47">
        <v>1</v>
      </c>
      <c r="P39" s="278"/>
      <c r="Q39" s="39">
        <v>0</v>
      </c>
      <c r="R39" s="47">
        <f t="shared" si="24"/>
        <v>1.7000000000000002</v>
      </c>
      <c r="S39" s="47">
        <f t="shared" si="25"/>
        <v>3.4000000000000004</v>
      </c>
      <c r="T39" s="47">
        <f t="shared" si="26"/>
        <v>5.0999999999999996</v>
      </c>
      <c r="U39" s="47">
        <f t="shared" si="27"/>
        <v>10.199999999999999</v>
      </c>
      <c r="V39" s="47">
        <f t="shared" si="28"/>
        <v>17</v>
      </c>
      <c r="W39" s="13"/>
      <c r="X39" s="15">
        <f t="shared" si="19"/>
        <v>0</v>
      </c>
      <c r="Y39" s="15">
        <f t="shared" si="20"/>
        <v>0</v>
      </c>
      <c r="Z39" s="15">
        <f t="shared" si="21"/>
        <v>0</v>
      </c>
      <c r="AA39" s="15">
        <f t="shared" si="22"/>
        <v>0</v>
      </c>
      <c r="AB39" s="15">
        <f t="shared" si="18"/>
        <v>0</v>
      </c>
      <c r="AC39" s="15">
        <f t="shared" si="23"/>
        <v>17</v>
      </c>
      <c r="AD39" s="15">
        <f t="shared" si="29"/>
        <v>17</v>
      </c>
      <c r="AE39" s="271"/>
    </row>
    <row r="40" spans="1:31" ht="29.25" customHeight="1" x14ac:dyDescent="0.25">
      <c r="A40" s="237"/>
      <c r="B40" s="236"/>
      <c r="C40" s="228"/>
      <c r="D40" s="235"/>
      <c r="E40" s="228"/>
      <c r="F40" s="235"/>
      <c r="G40" s="62">
        <v>13</v>
      </c>
      <c r="H40" s="61" t="s">
        <v>39</v>
      </c>
      <c r="I40" s="274"/>
      <c r="J40" s="63"/>
      <c r="K40" s="63"/>
      <c r="L40" s="63"/>
      <c r="M40" s="63"/>
      <c r="N40" s="63"/>
      <c r="O40" s="47">
        <v>1</v>
      </c>
      <c r="P40" s="278"/>
      <c r="Q40" s="39">
        <v>0</v>
      </c>
      <c r="R40" s="47">
        <f t="shared" si="24"/>
        <v>1.7000000000000002</v>
      </c>
      <c r="S40" s="47">
        <f t="shared" si="25"/>
        <v>3.4000000000000004</v>
      </c>
      <c r="T40" s="47">
        <f t="shared" si="26"/>
        <v>5.0999999999999996</v>
      </c>
      <c r="U40" s="47">
        <f t="shared" si="27"/>
        <v>10.199999999999999</v>
      </c>
      <c r="V40" s="47">
        <f t="shared" si="28"/>
        <v>17</v>
      </c>
      <c r="W40" s="13"/>
      <c r="X40" s="15">
        <f t="shared" si="19"/>
        <v>0</v>
      </c>
      <c r="Y40" s="15">
        <f t="shared" si="20"/>
        <v>0</v>
      </c>
      <c r="Z40" s="15">
        <f t="shared" si="21"/>
        <v>0</v>
      </c>
      <c r="AA40" s="15">
        <f t="shared" si="22"/>
        <v>0</v>
      </c>
      <c r="AB40" s="15">
        <f t="shared" si="18"/>
        <v>0</v>
      </c>
      <c r="AC40" s="15">
        <f t="shared" si="23"/>
        <v>17</v>
      </c>
      <c r="AD40" s="15">
        <f t="shared" si="29"/>
        <v>17</v>
      </c>
      <c r="AE40" s="271"/>
    </row>
    <row r="41" spans="1:31" ht="36" x14ac:dyDescent="0.25">
      <c r="A41" s="237"/>
      <c r="B41" s="236"/>
      <c r="C41" s="228">
        <v>3.5</v>
      </c>
      <c r="D41" s="235" t="s">
        <v>40</v>
      </c>
      <c r="E41" s="228" t="s">
        <v>150</v>
      </c>
      <c r="F41" s="235" t="s">
        <v>103</v>
      </c>
      <c r="G41" s="62">
        <v>14</v>
      </c>
      <c r="H41" s="61" t="s">
        <v>378</v>
      </c>
      <c r="I41" s="229" t="s">
        <v>244</v>
      </c>
      <c r="J41" s="63"/>
      <c r="K41" s="63"/>
      <c r="L41" s="63"/>
      <c r="M41" s="63"/>
      <c r="N41" s="63"/>
      <c r="O41" s="47">
        <v>1</v>
      </c>
      <c r="P41" s="278"/>
      <c r="Q41" s="39">
        <v>0</v>
      </c>
      <c r="R41" s="47">
        <f t="shared" si="24"/>
        <v>1.7000000000000002</v>
      </c>
      <c r="S41" s="47">
        <f t="shared" si="25"/>
        <v>3.4000000000000004</v>
      </c>
      <c r="T41" s="47">
        <f t="shared" si="26"/>
        <v>5.0999999999999996</v>
      </c>
      <c r="U41" s="47">
        <f t="shared" si="27"/>
        <v>10.199999999999999</v>
      </c>
      <c r="V41" s="47">
        <f t="shared" si="28"/>
        <v>17</v>
      </c>
      <c r="W41" s="13"/>
      <c r="X41" s="15">
        <f t="shared" si="19"/>
        <v>0</v>
      </c>
      <c r="Y41" s="15">
        <f t="shared" si="20"/>
        <v>0</v>
      </c>
      <c r="Z41" s="15">
        <f t="shared" si="21"/>
        <v>0</v>
      </c>
      <c r="AA41" s="15">
        <f t="shared" si="22"/>
        <v>0</v>
      </c>
      <c r="AB41" s="15">
        <f t="shared" si="18"/>
        <v>0</v>
      </c>
      <c r="AC41" s="15">
        <f t="shared" si="23"/>
        <v>17</v>
      </c>
      <c r="AD41" s="15">
        <f t="shared" si="29"/>
        <v>17</v>
      </c>
      <c r="AE41" s="271"/>
    </row>
    <row r="42" spans="1:31" ht="93.75" customHeight="1" x14ac:dyDescent="0.25">
      <c r="A42" s="237"/>
      <c r="B42" s="236"/>
      <c r="C42" s="228"/>
      <c r="D42" s="235"/>
      <c r="E42" s="228"/>
      <c r="F42" s="235"/>
      <c r="G42" s="62">
        <v>15</v>
      </c>
      <c r="H42" s="61" t="s">
        <v>104</v>
      </c>
      <c r="I42" s="230"/>
      <c r="J42" s="63"/>
      <c r="K42" s="63"/>
      <c r="L42" s="63"/>
      <c r="M42" s="63"/>
      <c r="N42" s="63"/>
      <c r="O42" s="47">
        <v>1</v>
      </c>
      <c r="P42" s="278"/>
      <c r="Q42" s="39">
        <v>0</v>
      </c>
      <c r="R42" s="47">
        <f t="shared" si="24"/>
        <v>1.7000000000000002</v>
      </c>
      <c r="S42" s="47">
        <f t="shared" si="25"/>
        <v>3.4000000000000004</v>
      </c>
      <c r="T42" s="47">
        <f t="shared" si="26"/>
        <v>5.0999999999999996</v>
      </c>
      <c r="U42" s="47">
        <f t="shared" si="27"/>
        <v>10.199999999999999</v>
      </c>
      <c r="V42" s="47">
        <f t="shared" si="28"/>
        <v>17</v>
      </c>
      <c r="W42" s="13"/>
      <c r="X42" s="15">
        <f t="shared" si="19"/>
        <v>0</v>
      </c>
      <c r="Y42" s="15">
        <f t="shared" si="20"/>
        <v>0</v>
      </c>
      <c r="Z42" s="15">
        <f t="shared" si="21"/>
        <v>0</v>
      </c>
      <c r="AA42" s="15">
        <f t="shared" si="22"/>
        <v>0</v>
      </c>
      <c r="AB42" s="15">
        <f t="shared" si="18"/>
        <v>0</v>
      </c>
      <c r="AC42" s="15">
        <f t="shared" si="23"/>
        <v>17</v>
      </c>
      <c r="AD42" s="15">
        <f t="shared" si="29"/>
        <v>17</v>
      </c>
      <c r="AE42" s="271"/>
    </row>
    <row r="43" spans="1:31" ht="93.75" customHeight="1" x14ac:dyDescent="0.25">
      <c r="A43" s="237"/>
      <c r="B43" s="236"/>
      <c r="C43" s="228"/>
      <c r="D43" s="235"/>
      <c r="E43" s="228"/>
      <c r="F43" s="235"/>
      <c r="G43" s="62">
        <v>16</v>
      </c>
      <c r="H43" s="61" t="s">
        <v>422</v>
      </c>
      <c r="I43" s="231"/>
      <c r="J43" s="63"/>
      <c r="K43" s="63"/>
      <c r="L43" s="63"/>
      <c r="M43" s="63"/>
      <c r="N43" s="63"/>
      <c r="O43" s="47">
        <v>1</v>
      </c>
      <c r="P43" s="278"/>
      <c r="Q43" s="39">
        <v>0</v>
      </c>
      <c r="R43" s="47">
        <f t="shared" si="24"/>
        <v>1.7000000000000002</v>
      </c>
      <c r="S43" s="47">
        <f t="shared" si="25"/>
        <v>3.4000000000000004</v>
      </c>
      <c r="T43" s="47">
        <f t="shared" si="26"/>
        <v>5.0999999999999996</v>
      </c>
      <c r="U43" s="47">
        <f t="shared" si="27"/>
        <v>10.199999999999999</v>
      </c>
      <c r="V43" s="47">
        <f t="shared" si="28"/>
        <v>17</v>
      </c>
      <c r="W43" s="13"/>
      <c r="X43" s="15">
        <f t="shared" si="19"/>
        <v>0</v>
      </c>
      <c r="Y43" s="15">
        <f t="shared" si="20"/>
        <v>0</v>
      </c>
      <c r="Z43" s="15">
        <f t="shared" si="21"/>
        <v>0</v>
      </c>
      <c r="AA43" s="15">
        <f t="shared" si="22"/>
        <v>0</v>
      </c>
      <c r="AB43" s="15">
        <f t="shared" si="18"/>
        <v>0</v>
      </c>
      <c r="AC43" s="15">
        <f t="shared" si="23"/>
        <v>17</v>
      </c>
      <c r="AD43" s="15">
        <f t="shared" si="29"/>
        <v>17</v>
      </c>
      <c r="AE43" s="272"/>
    </row>
    <row r="44" spans="1:31" ht="129.75" customHeight="1" x14ac:dyDescent="0.25">
      <c r="A44" s="44">
        <v>4</v>
      </c>
      <c r="B44" s="45" t="s">
        <v>41</v>
      </c>
      <c r="C44" s="62">
        <v>4.0999999999999996</v>
      </c>
      <c r="D44" s="61" t="s">
        <v>42</v>
      </c>
      <c r="E44" s="62" t="s">
        <v>151</v>
      </c>
      <c r="F44" s="61" t="s">
        <v>105</v>
      </c>
      <c r="G44" s="64">
        <v>1</v>
      </c>
      <c r="H44" s="65" t="s">
        <v>106</v>
      </c>
      <c r="I44" s="65" t="s">
        <v>245</v>
      </c>
      <c r="J44" s="63"/>
      <c r="K44" s="63"/>
      <c r="L44" s="63"/>
      <c r="M44" s="63"/>
      <c r="N44" s="63"/>
      <c r="O44" s="47">
        <v>1</v>
      </c>
      <c r="P44" s="278"/>
      <c r="Q44" s="47">
        <v>0</v>
      </c>
      <c r="R44" s="47">
        <f>20*0.1</f>
        <v>2</v>
      </c>
      <c r="S44" s="47">
        <f>20*0.2</f>
        <v>4</v>
      </c>
      <c r="T44" s="47">
        <f>20*0.3</f>
        <v>6</v>
      </c>
      <c r="U44" s="47">
        <f>20*0.6</f>
        <v>12</v>
      </c>
      <c r="V44" s="47">
        <f>20*1</f>
        <v>20</v>
      </c>
      <c r="W44" s="13"/>
      <c r="X44" s="48">
        <f t="shared" si="19"/>
        <v>0</v>
      </c>
      <c r="Y44" s="48">
        <f t="shared" si="20"/>
        <v>0</v>
      </c>
      <c r="Z44" s="48">
        <f t="shared" si="21"/>
        <v>0</v>
      </c>
      <c r="AA44" s="48">
        <f t="shared" si="22"/>
        <v>0</v>
      </c>
      <c r="AB44" s="48">
        <f t="shared" si="18"/>
        <v>0</v>
      </c>
      <c r="AC44" s="48">
        <f t="shared" si="23"/>
        <v>20</v>
      </c>
      <c r="AD44" s="48">
        <f t="shared" si="29"/>
        <v>20</v>
      </c>
      <c r="AE44" s="46">
        <f>AD44</f>
        <v>20</v>
      </c>
    </row>
    <row r="45" spans="1:31" ht="48" x14ac:dyDescent="0.25">
      <c r="A45" s="242">
        <v>5</v>
      </c>
      <c r="B45" s="239" t="s">
        <v>43</v>
      </c>
      <c r="C45" s="228">
        <v>5.0999999999999996</v>
      </c>
      <c r="D45" s="235" t="s">
        <v>44</v>
      </c>
      <c r="E45" s="60" t="s">
        <v>152</v>
      </c>
      <c r="F45" s="61" t="s">
        <v>379</v>
      </c>
      <c r="G45" s="62">
        <v>1</v>
      </c>
      <c r="H45" s="61" t="s">
        <v>107</v>
      </c>
      <c r="I45" s="229" t="s">
        <v>246</v>
      </c>
      <c r="J45" s="63"/>
      <c r="K45" s="63"/>
      <c r="L45" s="63"/>
      <c r="M45" s="63"/>
      <c r="N45" s="63"/>
      <c r="O45" s="47">
        <v>1</v>
      </c>
      <c r="P45" s="278"/>
      <c r="Q45" s="39">
        <v>0</v>
      </c>
      <c r="R45" s="47">
        <f>27*0.1</f>
        <v>2.7</v>
      </c>
      <c r="S45" s="47">
        <f>27*0.2</f>
        <v>5.4</v>
      </c>
      <c r="T45" s="47">
        <f>27*0.3</f>
        <v>8.1</v>
      </c>
      <c r="U45" s="47">
        <f>27*0.6</f>
        <v>16.2</v>
      </c>
      <c r="V45" s="39">
        <f>27*1</f>
        <v>27</v>
      </c>
      <c r="W45" s="13"/>
      <c r="X45" s="15">
        <f t="shared" si="19"/>
        <v>0</v>
      </c>
      <c r="Y45" s="15">
        <f t="shared" si="20"/>
        <v>0</v>
      </c>
      <c r="Z45" s="15">
        <f t="shared" si="21"/>
        <v>0</v>
      </c>
      <c r="AA45" s="15">
        <f t="shared" si="22"/>
        <v>0</v>
      </c>
      <c r="AB45" s="15">
        <f t="shared" si="18"/>
        <v>0</v>
      </c>
      <c r="AC45" s="15">
        <f t="shared" si="23"/>
        <v>27</v>
      </c>
      <c r="AD45" s="15">
        <f t="shared" si="29"/>
        <v>27</v>
      </c>
      <c r="AE45" s="270">
        <f>SUM(AD45:AD52)</f>
        <v>212</v>
      </c>
    </row>
    <row r="46" spans="1:31" ht="36" x14ac:dyDescent="0.25">
      <c r="A46" s="243"/>
      <c r="B46" s="240"/>
      <c r="C46" s="228"/>
      <c r="D46" s="235"/>
      <c r="E46" s="60" t="s">
        <v>153</v>
      </c>
      <c r="F46" s="61" t="s">
        <v>108</v>
      </c>
      <c r="G46" s="62">
        <v>2</v>
      </c>
      <c r="H46" s="61" t="s">
        <v>109</v>
      </c>
      <c r="I46" s="230"/>
      <c r="J46" s="63"/>
      <c r="K46" s="63"/>
      <c r="L46" s="63"/>
      <c r="M46" s="63"/>
      <c r="N46" s="63"/>
      <c r="O46" s="47">
        <v>1</v>
      </c>
      <c r="P46" s="278"/>
      <c r="Q46" s="39">
        <v>0</v>
      </c>
      <c r="R46" s="47">
        <f t="shared" ref="R46:R51" si="30">27*0.1</f>
        <v>2.7</v>
      </c>
      <c r="S46" s="47">
        <f t="shared" ref="S46:S51" si="31">27*0.2</f>
        <v>5.4</v>
      </c>
      <c r="T46" s="47">
        <f t="shared" ref="T46:T51" si="32">27*0.3</f>
        <v>8.1</v>
      </c>
      <c r="U46" s="47">
        <f t="shared" ref="U46:U51" si="33">27*0.6</f>
        <v>16.2</v>
      </c>
      <c r="V46" s="47">
        <f t="shared" ref="V46:V51" si="34">27*1</f>
        <v>27</v>
      </c>
      <c r="W46" s="13"/>
      <c r="X46" s="15">
        <f t="shared" si="19"/>
        <v>0</v>
      </c>
      <c r="Y46" s="15">
        <f t="shared" si="20"/>
        <v>0</v>
      </c>
      <c r="Z46" s="15">
        <f t="shared" si="21"/>
        <v>0</v>
      </c>
      <c r="AA46" s="15">
        <f t="shared" si="22"/>
        <v>0</v>
      </c>
      <c r="AB46" s="15">
        <f t="shared" si="18"/>
        <v>0</v>
      </c>
      <c r="AC46" s="15">
        <f t="shared" si="23"/>
        <v>27</v>
      </c>
      <c r="AD46" s="15">
        <f t="shared" si="29"/>
        <v>27</v>
      </c>
      <c r="AE46" s="271"/>
    </row>
    <row r="47" spans="1:31" ht="48" x14ac:dyDescent="0.25">
      <c r="A47" s="243"/>
      <c r="B47" s="240"/>
      <c r="C47" s="228"/>
      <c r="D47" s="235"/>
      <c r="E47" s="60" t="s">
        <v>154</v>
      </c>
      <c r="F47" s="61" t="s">
        <v>110</v>
      </c>
      <c r="G47" s="62">
        <v>3</v>
      </c>
      <c r="H47" s="73" t="s">
        <v>111</v>
      </c>
      <c r="I47" s="230"/>
      <c r="J47" s="63"/>
      <c r="K47" s="63"/>
      <c r="L47" s="63"/>
      <c r="M47" s="63"/>
      <c r="N47" s="63"/>
      <c r="O47" s="47">
        <v>1</v>
      </c>
      <c r="P47" s="278"/>
      <c r="Q47" s="39">
        <v>0</v>
      </c>
      <c r="R47" s="47">
        <f t="shared" si="30"/>
        <v>2.7</v>
      </c>
      <c r="S47" s="47">
        <f t="shared" si="31"/>
        <v>5.4</v>
      </c>
      <c r="T47" s="47">
        <f t="shared" si="32"/>
        <v>8.1</v>
      </c>
      <c r="U47" s="47">
        <f t="shared" si="33"/>
        <v>16.2</v>
      </c>
      <c r="V47" s="47">
        <f t="shared" si="34"/>
        <v>27</v>
      </c>
      <c r="W47" s="13"/>
      <c r="X47" s="15">
        <f t="shared" si="19"/>
        <v>0</v>
      </c>
      <c r="Y47" s="15">
        <f t="shared" si="20"/>
        <v>0</v>
      </c>
      <c r="Z47" s="15">
        <f t="shared" si="21"/>
        <v>0</v>
      </c>
      <c r="AA47" s="15">
        <f t="shared" si="22"/>
        <v>0</v>
      </c>
      <c r="AB47" s="15">
        <f t="shared" si="18"/>
        <v>0</v>
      </c>
      <c r="AC47" s="15">
        <f t="shared" si="23"/>
        <v>27</v>
      </c>
      <c r="AD47" s="15">
        <f t="shared" si="29"/>
        <v>27</v>
      </c>
      <c r="AE47" s="271"/>
    </row>
    <row r="48" spans="1:31" ht="36" x14ac:dyDescent="0.25">
      <c r="A48" s="243"/>
      <c r="B48" s="240"/>
      <c r="C48" s="228"/>
      <c r="D48" s="235"/>
      <c r="E48" s="60" t="s">
        <v>155</v>
      </c>
      <c r="F48" s="61" t="s">
        <v>45</v>
      </c>
      <c r="G48" s="62">
        <v>4</v>
      </c>
      <c r="H48" s="61" t="s">
        <v>112</v>
      </c>
      <c r="I48" s="230"/>
      <c r="J48" s="63"/>
      <c r="K48" s="63"/>
      <c r="L48" s="63"/>
      <c r="M48" s="63"/>
      <c r="N48" s="63"/>
      <c r="O48" s="47">
        <v>1</v>
      </c>
      <c r="P48" s="278"/>
      <c r="Q48" s="39">
        <v>0</v>
      </c>
      <c r="R48" s="47">
        <f t="shared" si="30"/>
        <v>2.7</v>
      </c>
      <c r="S48" s="47">
        <f t="shared" si="31"/>
        <v>5.4</v>
      </c>
      <c r="T48" s="47">
        <f t="shared" si="32"/>
        <v>8.1</v>
      </c>
      <c r="U48" s="47">
        <f t="shared" si="33"/>
        <v>16.2</v>
      </c>
      <c r="V48" s="47">
        <f t="shared" si="34"/>
        <v>27</v>
      </c>
      <c r="W48" s="13"/>
      <c r="X48" s="15">
        <f t="shared" si="19"/>
        <v>0</v>
      </c>
      <c r="Y48" s="15">
        <f t="shared" si="20"/>
        <v>0</v>
      </c>
      <c r="Z48" s="15">
        <f t="shared" si="21"/>
        <v>0</v>
      </c>
      <c r="AA48" s="15">
        <f t="shared" si="22"/>
        <v>0</v>
      </c>
      <c r="AB48" s="15">
        <f t="shared" si="18"/>
        <v>0</v>
      </c>
      <c r="AC48" s="15">
        <f t="shared" si="23"/>
        <v>27</v>
      </c>
      <c r="AD48" s="15">
        <f t="shared" si="29"/>
        <v>27</v>
      </c>
      <c r="AE48" s="271"/>
    </row>
    <row r="49" spans="1:31" ht="56.25" x14ac:dyDescent="0.25">
      <c r="A49" s="243"/>
      <c r="B49" s="240"/>
      <c r="C49" s="228">
        <v>5.2</v>
      </c>
      <c r="D49" s="235" t="s">
        <v>46</v>
      </c>
      <c r="E49" s="60" t="s">
        <v>156</v>
      </c>
      <c r="F49" s="71" t="s">
        <v>113</v>
      </c>
      <c r="G49" s="62">
        <v>5</v>
      </c>
      <c r="H49" s="61" t="s">
        <v>114</v>
      </c>
      <c r="I49" s="230"/>
      <c r="J49" s="63"/>
      <c r="K49" s="63"/>
      <c r="L49" s="63"/>
      <c r="M49" s="63"/>
      <c r="N49" s="63"/>
      <c r="O49" s="47">
        <v>1</v>
      </c>
      <c r="P49" s="278"/>
      <c r="Q49" s="39">
        <v>0</v>
      </c>
      <c r="R49" s="47">
        <f t="shared" si="30"/>
        <v>2.7</v>
      </c>
      <c r="S49" s="47">
        <f t="shared" si="31"/>
        <v>5.4</v>
      </c>
      <c r="T49" s="47">
        <f t="shared" si="32"/>
        <v>8.1</v>
      </c>
      <c r="U49" s="47">
        <f t="shared" si="33"/>
        <v>16.2</v>
      </c>
      <c r="V49" s="47">
        <f t="shared" si="34"/>
        <v>27</v>
      </c>
      <c r="W49" s="13"/>
      <c r="X49" s="15">
        <f t="shared" si="19"/>
        <v>0</v>
      </c>
      <c r="Y49" s="15">
        <f t="shared" si="20"/>
        <v>0</v>
      </c>
      <c r="Z49" s="15">
        <f t="shared" si="21"/>
        <v>0</v>
      </c>
      <c r="AA49" s="15">
        <f t="shared" si="22"/>
        <v>0</v>
      </c>
      <c r="AB49" s="15">
        <f t="shared" si="18"/>
        <v>0</v>
      </c>
      <c r="AC49" s="15">
        <f t="shared" si="23"/>
        <v>27</v>
      </c>
      <c r="AD49" s="15">
        <f t="shared" si="29"/>
        <v>27</v>
      </c>
      <c r="AE49" s="271"/>
    </row>
    <row r="50" spans="1:31" ht="35.25" x14ac:dyDescent="0.25">
      <c r="A50" s="243"/>
      <c r="B50" s="240"/>
      <c r="C50" s="228"/>
      <c r="D50" s="235"/>
      <c r="E50" s="60" t="s">
        <v>157</v>
      </c>
      <c r="F50" s="71" t="s">
        <v>115</v>
      </c>
      <c r="G50" s="62">
        <v>6</v>
      </c>
      <c r="H50" s="61" t="s">
        <v>116</v>
      </c>
      <c r="I50" s="230"/>
      <c r="J50" s="63"/>
      <c r="K50" s="63"/>
      <c r="L50" s="63"/>
      <c r="M50" s="63"/>
      <c r="N50" s="63"/>
      <c r="O50" s="47">
        <v>1</v>
      </c>
      <c r="P50" s="278"/>
      <c r="Q50" s="39">
        <v>0</v>
      </c>
      <c r="R50" s="47">
        <f t="shared" si="30"/>
        <v>2.7</v>
      </c>
      <c r="S50" s="47">
        <f t="shared" si="31"/>
        <v>5.4</v>
      </c>
      <c r="T50" s="47">
        <f t="shared" si="32"/>
        <v>8.1</v>
      </c>
      <c r="U50" s="47">
        <f t="shared" si="33"/>
        <v>16.2</v>
      </c>
      <c r="V50" s="47">
        <f t="shared" si="34"/>
        <v>27</v>
      </c>
      <c r="W50" s="13"/>
      <c r="X50" s="15">
        <f t="shared" si="19"/>
        <v>0</v>
      </c>
      <c r="Y50" s="15">
        <f t="shared" si="20"/>
        <v>0</v>
      </c>
      <c r="Z50" s="15">
        <f t="shared" si="21"/>
        <v>0</v>
      </c>
      <c r="AA50" s="15">
        <f t="shared" si="22"/>
        <v>0</v>
      </c>
      <c r="AB50" s="15">
        <f t="shared" si="18"/>
        <v>0</v>
      </c>
      <c r="AC50" s="15">
        <f t="shared" si="23"/>
        <v>27</v>
      </c>
      <c r="AD50" s="15">
        <f t="shared" si="29"/>
        <v>27</v>
      </c>
      <c r="AE50" s="271"/>
    </row>
    <row r="51" spans="1:31" ht="45" x14ac:dyDescent="0.25">
      <c r="A51" s="243"/>
      <c r="B51" s="240"/>
      <c r="C51" s="228"/>
      <c r="D51" s="235"/>
      <c r="E51" s="60" t="s">
        <v>158</v>
      </c>
      <c r="F51" s="71" t="s">
        <v>370</v>
      </c>
      <c r="G51" s="62">
        <v>7</v>
      </c>
      <c r="H51" s="61" t="s">
        <v>423</v>
      </c>
      <c r="I51" s="230"/>
      <c r="J51" s="63"/>
      <c r="K51" s="63"/>
      <c r="L51" s="63"/>
      <c r="M51" s="63"/>
      <c r="N51" s="63"/>
      <c r="O51" s="47">
        <v>1</v>
      </c>
      <c r="P51" s="278"/>
      <c r="Q51" s="39">
        <v>0</v>
      </c>
      <c r="R51" s="47">
        <f t="shared" si="30"/>
        <v>2.7</v>
      </c>
      <c r="S51" s="47">
        <f t="shared" si="31"/>
        <v>5.4</v>
      </c>
      <c r="T51" s="47">
        <f t="shared" si="32"/>
        <v>8.1</v>
      </c>
      <c r="U51" s="47">
        <f t="shared" si="33"/>
        <v>16.2</v>
      </c>
      <c r="V51" s="47">
        <f t="shared" si="34"/>
        <v>27</v>
      </c>
      <c r="W51" s="13"/>
      <c r="X51" s="15">
        <f t="shared" si="19"/>
        <v>0</v>
      </c>
      <c r="Y51" s="15">
        <f t="shared" si="20"/>
        <v>0</v>
      </c>
      <c r="Z51" s="15">
        <f t="shared" si="21"/>
        <v>0</v>
      </c>
      <c r="AA51" s="15">
        <f t="shared" si="22"/>
        <v>0</v>
      </c>
      <c r="AB51" s="15">
        <f t="shared" si="18"/>
        <v>0</v>
      </c>
      <c r="AC51" s="15">
        <f t="shared" si="23"/>
        <v>27</v>
      </c>
      <c r="AD51" s="15">
        <f t="shared" si="29"/>
        <v>27</v>
      </c>
      <c r="AE51" s="271"/>
    </row>
    <row r="52" spans="1:31" ht="45" x14ac:dyDescent="0.25">
      <c r="A52" s="244"/>
      <c r="B52" s="241"/>
      <c r="C52" s="60">
        <v>5.3</v>
      </c>
      <c r="D52" s="61" t="s">
        <v>47</v>
      </c>
      <c r="E52" s="60" t="s">
        <v>159</v>
      </c>
      <c r="F52" s="71" t="s">
        <v>424</v>
      </c>
      <c r="G52" s="62">
        <v>8</v>
      </c>
      <c r="H52" s="61" t="s">
        <v>380</v>
      </c>
      <c r="I52" s="231"/>
      <c r="J52" s="63"/>
      <c r="K52" s="63"/>
      <c r="L52" s="63"/>
      <c r="M52" s="63"/>
      <c r="N52" s="63"/>
      <c r="O52" s="47">
        <v>1</v>
      </c>
      <c r="P52" s="278"/>
      <c r="Q52" s="39">
        <v>0</v>
      </c>
      <c r="R52" s="47">
        <f>23*0.1</f>
        <v>2.3000000000000003</v>
      </c>
      <c r="S52" s="47">
        <f>23*0.2</f>
        <v>4.6000000000000005</v>
      </c>
      <c r="T52" s="47">
        <f>23*0.3</f>
        <v>6.8999999999999995</v>
      </c>
      <c r="U52" s="47">
        <f>23*0.6</f>
        <v>13.799999999999999</v>
      </c>
      <c r="V52" s="39">
        <f>23*1</f>
        <v>23</v>
      </c>
      <c r="W52" s="13"/>
      <c r="X52" s="15">
        <f t="shared" si="19"/>
        <v>0</v>
      </c>
      <c r="Y52" s="15">
        <f t="shared" si="20"/>
        <v>0</v>
      </c>
      <c r="Z52" s="15">
        <f t="shared" si="21"/>
        <v>0</v>
      </c>
      <c r="AA52" s="15">
        <f t="shared" si="22"/>
        <v>0</v>
      </c>
      <c r="AB52" s="15">
        <f t="shared" si="18"/>
        <v>0</v>
      </c>
      <c r="AC52" s="15">
        <f t="shared" si="23"/>
        <v>23</v>
      </c>
      <c r="AD52" s="15">
        <f t="shared" si="29"/>
        <v>23</v>
      </c>
      <c r="AE52" s="272"/>
    </row>
    <row r="53" spans="1:31" ht="56.25" x14ac:dyDescent="0.25">
      <c r="A53" s="242">
        <v>6</v>
      </c>
      <c r="B53" s="239" t="s">
        <v>48</v>
      </c>
      <c r="C53" s="228">
        <v>6.1</v>
      </c>
      <c r="D53" s="235" t="s">
        <v>49</v>
      </c>
      <c r="E53" s="60" t="s">
        <v>160</v>
      </c>
      <c r="F53" s="71" t="s">
        <v>425</v>
      </c>
      <c r="G53" s="62">
        <v>1</v>
      </c>
      <c r="H53" s="61" t="s">
        <v>426</v>
      </c>
      <c r="I53" s="229" t="s">
        <v>365</v>
      </c>
      <c r="J53" s="63"/>
      <c r="K53" s="63"/>
      <c r="L53" s="63"/>
      <c r="M53" s="63"/>
      <c r="N53" s="63"/>
      <c r="O53" s="47">
        <v>1</v>
      </c>
      <c r="P53" s="278"/>
      <c r="Q53" s="39">
        <v>0</v>
      </c>
      <c r="R53" s="47">
        <f t="shared" ref="R53:R63" si="35">23*0.1</f>
        <v>2.3000000000000003</v>
      </c>
      <c r="S53" s="47">
        <f t="shared" ref="S53:S63" si="36">23*0.2</f>
        <v>4.6000000000000005</v>
      </c>
      <c r="T53" s="47">
        <f t="shared" ref="T53:T63" si="37">23*0.3</f>
        <v>6.8999999999999995</v>
      </c>
      <c r="U53" s="47">
        <f t="shared" ref="U53:U63" si="38">23*0.6</f>
        <v>13.799999999999999</v>
      </c>
      <c r="V53" s="47">
        <f t="shared" ref="V53:V63" si="39">23*1</f>
        <v>23</v>
      </c>
      <c r="W53" s="13"/>
      <c r="X53" s="15">
        <f t="shared" si="19"/>
        <v>0</v>
      </c>
      <c r="Y53" s="15">
        <f t="shared" si="20"/>
        <v>0</v>
      </c>
      <c r="Z53" s="15">
        <f t="shared" si="21"/>
        <v>0</v>
      </c>
      <c r="AA53" s="15">
        <f t="shared" si="22"/>
        <v>0</v>
      </c>
      <c r="AB53" s="15">
        <f t="shared" si="18"/>
        <v>0</v>
      </c>
      <c r="AC53" s="15">
        <f t="shared" si="23"/>
        <v>23</v>
      </c>
      <c r="AD53" s="15">
        <f t="shared" si="29"/>
        <v>23</v>
      </c>
      <c r="AE53" s="270">
        <f>SUM(AD53:AD64)</f>
        <v>273.62</v>
      </c>
    </row>
    <row r="54" spans="1:31" ht="24" x14ac:dyDescent="0.25">
      <c r="A54" s="243"/>
      <c r="B54" s="240"/>
      <c r="C54" s="228"/>
      <c r="D54" s="235"/>
      <c r="E54" s="228" t="s">
        <v>161</v>
      </c>
      <c r="F54" s="235" t="s">
        <v>427</v>
      </c>
      <c r="G54" s="62">
        <v>2</v>
      </c>
      <c r="H54" s="61" t="s">
        <v>428</v>
      </c>
      <c r="I54" s="230"/>
      <c r="J54" s="63"/>
      <c r="K54" s="63"/>
      <c r="L54" s="63"/>
      <c r="M54" s="63"/>
      <c r="N54" s="63"/>
      <c r="O54" s="47">
        <v>1</v>
      </c>
      <c r="P54" s="278"/>
      <c r="Q54" s="39">
        <v>0</v>
      </c>
      <c r="R54" s="47">
        <f t="shared" si="35"/>
        <v>2.3000000000000003</v>
      </c>
      <c r="S54" s="47">
        <f t="shared" si="36"/>
        <v>4.6000000000000005</v>
      </c>
      <c r="T54" s="47">
        <f t="shared" si="37"/>
        <v>6.8999999999999995</v>
      </c>
      <c r="U54" s="47">
        <f t="shared" si="38"/>
        <v>13.799999999999999</v>
      </c>
      <c r="V54" s="47">
        <f t="shared" si="39"/>
        <v>23</v>
      </c>
      <c r="W54" s="13"/>
      <c r="X54" s="15">
        <f t="shared" si="19"/>
        <v>0</v>
      </c>
      <c r="Y54" s="15">
        <f t="shared" si="20"/>
        <v>0</v>
      </c>
      <c r="Z54" s="15">
        <f t="shared" si="21"/>
        <v>0</v>
      </c>
      <c r="AA54" s="15">
        <f t="shared" si="22"/>
        <v>0</v>
      </c>
      <c r="AB54" s="15">
        <f t="shared" si="18"/>
        <v>0</v>
      </c>
      <c r="AC54" s="15">
        <f t="shared" si="23"/>
        <v>23</v>
      </c>
      <c r="AD54" s="15">
        <f t="shared" si="29"/>
        <v>23</v>
      </c>
      <c r="AE54" s="271"/>
    </row>
    <row r="55" spans="1:31" ht="36" x14ac:dyDescent="0.25">
      <c r="A55" s="243"/>
      <c r="B55" s="240"/>
      <c r="C55" s="228"/>
      <c r="D55" s="235"/>
      <c r="E55" s="228"/>
      <c r="F55" s="235"/>
      <c r="G55" s="62">
        <v>3</v>
      </c>
      <c r="H55" s="61" t="s">
        <v>429</v>
      </c>
      <c r="I55" s="230"/>
      <c r="J55" s="63"/>
      <c r="K55" s="63"/>
      <c r="L55" s="63"/>
      <c r="M55" s="63"/>
      <c r="N55" s="63"/>
      <c r="O55" s="47">
        <v>1</v>
      </c>
      <c r="P55" s="278"/>
      <c r="Q55" s="39">
        <v>0</v>
      </c>
      <c r="R55" s="47">
        <f t="shared" si="35"/>
        <v>2.3000000000000003</v>
      </c>
      <c r="S55" s="47">
        <f t="shared" si="36"/>
        <v>4.6000000000000005</v>
      </c>
      <c r="T55" s="47">
        <f t="shared" si="37"/>
        <v>6.8999999999999995</v>
      </c>
      <c r="U55" s="47">
        <f t="shared" si="38"/>
        <v>13.799999999999999</v>
      </c>
      <c r="V55" s="47">
        <f t="shared" si="39"/>
        <v>23</v>
      </c>
      <c r="W55" s="13"/>
      <c r="X55" s="15">
        <f t="shared" si="19"/>
        <v>0</v>
      </c>
      <c r="Y55" s="15">
        <f t="shared" si="20"/>
        <v>0</v>
      </c>
      <c r="Z55" s="15">
        <f t="shared" si="21"/>
        <v>0</v>
      </c>
      <c r="AA55" s="15">
        <f t="shared" si="22"/>
        <v>0</v>
      </c>
      <c r="AB55" s="15">
        <f t="shared" si="18"/>
        <v>0</v>
      </c>
      <c r="AC55" s="15">
        <f t="shared" si="23"/>
        <v>23</v>
      </c>
      <c r="AD55" s="15">
        <f t="shared" si="29"/>
        <v>23</v>
      </c>
      <c r="AE55" s="271"/>
    </row>
    <row r="56" spans="1:31" ht="33.75" x14ac:dyDescent="0.25">
      <c r="A56" s="243"/>
      <c r="B56" s="240"/>
      <c r="C56" s="228"/>
      <c r="D56" s="235"/>
      <c r="E56" s="228"/>
      <c r="F56" s="235"/>
      <c r="G56" s="62">
        <v>4</v>
      </c>
      <c r="H56" s="71" t="s">
        <v>117</v>
      </c>
      <c r="I56" s="230"/>
      <c r="J56" s="63"/>
      <c r="K56" s="63"/>
      <c r="L56" s="63"/>
      <c r="M56" s="63"/>
      <c r="N56" s="63"/>
      <c r="O56" s="47">
        <v>1</v>
      </c>
      <c r="P56" s="278"/>
      <c r="Q56" s="39">
        <v>0</v>
      </c>
      <c r="R56" s="47">
        <f t="shared" si="35"/>
        <v>2.3000000000000003</v>
      </c>
      <c r="S56" s="47">
        <f t="shared" si="36"/>
        <v>4.6000000000000005</v>
      </c>
      <c r="T56" s="47">
        <f t="shared" si="37"/>
        <v>6.8999999999999995</v>
      </c>
      <c r="U56" s="47">
        <f t="shared" si="38"/>
        <v>13.799999999999999</v>
      </c>
      <c r="V56" s="47">
        <f t="shared" si="39"/>
        <v>23</v>
      </c>
      <c r="W56" s="13"/>
      <c r="X56" s="15">
        <f t="shared" si="19"/>
        <v>0</v>
      </c>
      <c r="Y56" s="15">
        <f t="shared" si="20"/>
        <v>0</v>
      </c>
      <c r="Z56" s="15">
        <f t="shared" si="21"/>
        <v>0</v>
      </c>
      <c r="AA56" s="15">
        <f t="shared" si="22"/>
        <v>0</v>
      </c>
      <c r="AB56" s="15">
        <f t="shared" si="18"/>
        <v>0</v>
      </c>
      <c r="AC56" s="15">
        <f t="shared" si="23"/>
        <v>23</v>
      </c>
      <c r="AD56" s="15">
        <f t="shared" si="29"/>
        <v>23</v>
      </c>
      <c r="AE56" s="271"/>
    </row>
    <row r="57" spans="1:31" ht="35.25" x14ac:dyDescent="0.25">
      <c r="A57" s="243"/>
      <c r="B57" s="240"/>
      <c r="C57" s="228"/>
      <c r="D57" s="235"/>
      <c r="E57" s="60" t="s">
        <v>162</v>
      </c>
      <c r="F57" s="71" t="s">
        <v>118</v>
      </c>
      <c r="G57" s="62">
        <v>5</v>
      </c>
      <c r="H57" s="61" t="s">
        <v>119</v>
      </c>
      <c r="I57" s="230"/>
      <c r="J57" s="63"/>
      <c r="K57" s="63"/>
      <c r="L57" s="63"/>
      <c r="M57" s="63"/>
      <c r="N57" s="63"/>
      <c r="O57" s="47">
        <v>1</v>
      </c>
      <c r="P57" s="278"/>
      <c r="Q57" s="39">
        <v>0</v>
      </c>
      <c r="R57" s="47">
        <f t="shared" si="35"/>
        <v>2.3000000000000003</v>
      </c>
      <c r="S57" s="47">
        <f t="shared" si="36"/>
        <v>4.6000000000000005</v>
      </c>
      <c r="T57" s="47">
        <f t="shared" si="37"/>
        <v>6.8999999999999995</v>
      </c>
      <c r="U57" s="47">
        <f t="shared" si="38"/>
        <v>13.799999999999999</v>
      </c>
      <c r="V57" s="47">
        <f t="shared" si="39"/>
        <v>23</v>
      </c>
      <c r="W57" s="13"/>
      <c r="X57" s="15">
        <f t="shared" si="19"/>
        <v>0</v>
      </c>
      <c r="Y57" s="15">
        <f t="shared" si="20"/>
        <v>0</v>
      </c>
      <c r="Z57" s="15">
        <f t="shared" si="21"/>
        <v>0</v>
      </c>
      <c r="AA57" s="15">
        <f t="shared" si="22"/>
        <v>0</v>
      </c>
      <c r="AB57" s="15">
        <f t="shared" si="18"/>
        <v>0</v>
      </c>
      <c r="AC57" s="15">
        <f t="shared" si="23"/>
        <v>23</v>
      </c>
      <c r="AD57" s="15">
        <f t="shared" si="29"/>
        <v>23</v>
      </c>
      <c r="AE57" s="271"/>
    </row>
    <row r="58" spans="1:31" ht="24" x14ac:dyDescent="0.25">
      <c r="A58" s="243"/>
      <c r="B58" s="240"/>
      <c r="C58" s="228"/>
      <c r="D58" s="235"/>
      <c r="E58" s="228" t="s">
        <v>163</v>
      </c>
      <c r="F58" s="269" t="s">
        <v>371</v>
      </c>
      <c r="G58" s="62">
        <v>6</v>
      </c>
      <c r="H58" s="61" t="s">
        <v>120</v>
      </c>
      <c r="I58" s="230"/>
      <c r="J58" s="63"/>
      <c r="K58" s="63"/>
      <c r="L58" s="63"/>
      <c r="M58" s="63"/>
      <c r="N58" s="63"/>
      <c r="O58" s="47">
        <v>1</v>
      </c>
      <c r="P58" s="278"/>
      <c r="Q58" s="39">
        <v>0</v>
      </c>
      <c r="R58" s="47">
        <f t="shared" si="35"/>
        <v>2.3000000000000003</v>
      </c>
      <c r="S58" s="47">
        <f t="shared" si="36"/>
        <v>4.6000000000000005</v>
      </c>
      <c r="T58" s="47">
        <f t="shared" si="37"/>
        <v>6.8999999999999995</v>
      </c>
      <c r="U58" s="47">
        <f t="shared" si="38"/>
        <v>13.799999999999999</v>
      </c>
      <c r="V58" s="47">
        <f t="shared" si="39"/>
        <v>23</v>
      </c>
      <c r="W58" s="13"/>
      <c r="X58" s="15">
        <f t="shared" si="19"/>
        <v>0</v>
      </c>
      <c r="Y58" s="15">
        <f t="shared" si="20"/>
        <v>0</v>
      </c>
      <c r="Z58" s="15">
        <f t="shared" si="21"/>
        <v>0</v>
      </c>
      <c r="AA58" s="15">
        <f t="shared" si="22"/>
        <v>0</v>
      </c>
      <c r="AB58" s="15">
        <f t="shared" ref="AB58:AB83" si="40">N58*U58</f>
        <v>0</v>
      </c>
      <c r="AC58" s="15">
        <f t="shared" si="23"/>
        <v>23</v>
      </c>
      <c r="AD58" s="15">
        <f t="shared" si="29"/>
        <v>23</v>
      </c>
      <c r="AE58" s="271"/>
    </row>
    <row r="59" spans="1:31" ht="24" x14ac:dyDescent="0.25">
      <c r="A59" s="243"/>
      <c r="B59" s="240"/>
      <c r="C59" s="228"/>
      <c r="D59" s="235"/>
      <c r="E59" s="228"/>
      <c r="F59" s="269"/>
      <c r="G59" s="62">
        <v>7</v>
      </c>
      <c r="H59" s="61" t="s">
        <v>372</v>
      </c>
      <c r="I59" s="230"/>
      <c r="J59" s="63"/>
      <c r="K59" s="63"/>
      <c r="L59" s="63"/>
      <c r="M59" s="63"/>
      <c r="N59" s="63"/>
      <c r="O59" s="47">
        <v>1</v>
      </c>
      <c r="P59" s="278"/>
      <c r="Q59" s="39">
        <v>0</v>
      </c>
      <c r="R59" s="47">
        <f t="shared" si="35"/>
        <v>2.3000000000000003</v>
      </c>
      <c r="S59" s="47">
        <f t="shared" si="36"/>
        <v>4.6000000000000005</v>
      </c>
      <c r="T59" s="47">
        <f t="shared" si="37"/>
        <v>6.8999999999999995</v>
      </c>
      <c r="U59" s="47">
        <f t="shared" si="38"/>
        <v>13.799999999999999</v>
      </c>
      <c r="V59" s="47">
        <f t="shared" si="39"/>
        <v>23</v>
      </c>
      <c r="W59" s="13"/>
      <c r="X59" s="15">
        <f t="shared" ref="X59:X84" si="41">J59*Q59</f>
        <v>0</v>
      </c>
      <c r="Y59" s="15">
        <f t="shared" ref="Y59:Y84" si="42">K59*R59</f>
        <v>0</v>
      </c>
      <c r="Z59" s="15">
        <f t="shared" ref="Z59:Z84" si="43">L59*S59</f>
        <v>0</v>
      </c>
      <c r="AA59" s="15">
        <f t="shared" ref="AA59:AA84" si="44">M59*T59</f>
        <v>0</v>
      </c>
      <c r="AB59" s="15">
        <f t="shared" si="40"/>
        <v>0</v>
      </c>
      <c r="AC59" s="15">
        <f t="shared" ref="AC59:AC84" si="45">O59*V59</f>
        <v>23</v>
      </c>
      <c r="AD59" s="15">
        <f t="shared" si="29"/>
        <v>23</v>
      </c>
      <c r="AE59" s="271"/>
    </row>
    <row r="60" spans="1:31" ht="36" x14ac:dyDescent="0.25">
      <c r="A60" s="243"/>
      <c r="B60" s="240"/>
      <c r="C60" s="62">
        <v>6.2</v>
      </c>
      <c r="D60" s="61" t="s">
        <v>433</v>
      </c>
      <c r="E60" s="62" t="s">
        <v>164</v>
      </c>
      <c r="F60" s="71" t="s">
        <v>430</v>
      </c>
      <c r="G60" s="62">
        <v>8</v>
      </c>
      <c r="H60" s="61" t="s">
        <v>439</v>
      </c>
      <c r="I60" s="230"/>
      <c r="J60" s="63"/>
      <c r="K60" s="63"/>
      <c r="L60" s="63"/>
      <c r="M60" s="63"/>
      <c r="N60" s="63"/>
      <c r="O60" s="47">
        <v>1</v>
      </c>
      <c r="P60" s="278"/>
      <c r="Q60" s="39">
        <v>0</v>
      </c>
      <c r="R60" s="47">
        <f t="shared" si="35"/>
        <v>2.3000000000000003</v>
      </c>
      <c r="S60" s="47">
        <f t="shared" si="36"/>
        <v>4.6000000000000005</v>
      </c>
      <c r="T60" s="47">
        <f t="shared" si="37"/>
        <v>6.8999999999999995</v>
      </c>
      <c r="U60" s="47">
        <f t="shared" si="38"/>
        <v>13.799999999999999</v>
      </c>
      <c r="V60" s="47">
        <f t="shared" si="39"/>
        <v>23</v>
      </c>
      <c r="W60" s="13"/>
      <c r="X60" s="15">
        <f t="shared" ref="X60" si="46">J60*Q60</f>
        <v>0</v>
      </c>
      <c r="Y60" s="15">
        <f t="shared" ref="Y60" si="47">K60*R60</f>
        <v>0</v>
      </c>
      <c r="Z60" s="15">
        <f t="shared" ref="Z60" si="48">L60*S60</f>
        <v>0</v>
      </c>
      <c r="AA60" s="15">
        <f t="shared" ref="AA60" si="49">M60*T60</f>
        <v>0</v>
      </c>
      <c r="AB60" s="15">
        <f t="shared" ref="AB60" si="50">N60*U60</f>
        <v>0</v>
      </c>
      <c r="AC60" s="15">
        <f t="shared" ref="AC60" si="51">O60*V60</f>
        <v>23</v>
      </c>
      <c r="AD60" s="15">
        <f t="shared" si="29"/>
        <v>23</v>
      </c>
      <c r="AE60" s="271"/>
    </row>
    <row r="61" spans="1:31" ht="44.25" customHeight="1" x14ac:dyDescent="0.25">
      <c r="A61" s="243"/>
      <c r="B61" s="240"/>
      <c r="C61" s="228">
        <v>6.3</v>
      </c>
      <c r="D61" s="235" t="s">
        <v>50</v>
      </c>
      <c r="E61" s="62" t="s">
        <v>167</v>
      </c>
      <c r="F61" s="71" t="s">
        <v>431</v>
      </c>
      <c r="G61" s="64">
        <v>9</v>
      </c>
      <c r="H61" s="65" t="s">
        <v>381</v>
      </c>
      <c r="I61" s="230"/>
      <c r="J61" s="63"/>
      <c r="K61" s="63"/>
      <c r="L61" s="63"/>
      <c r="M61" s="63"/>
      <c r="N61" s="63"/>
      <c r="O61" s="47">
        <v>1</v>
      </c>
      <c r="P61" s="278"/>
      <c r="Q61" s="47">
        <v>0</v>
      </c>
      <c r="R61" s="47">
        <f t="shared" si="35"/>
        <v>2.3000000000000003</v>
      </c>
      <c r="S61" s="47">
        <f t="shared" si="36"/>
        <v>4.6000000000000005</v>
      </c>
      <c r="T61" s="47">
        <f t="shared" si="37"/>
        <v>6.8999999999999995</v>
      </c>
      <c r="U61" s="47">
        <f t="shared" si="38"/>
        <v>13.799999999999999</v>
      </c>
      <c r="V61" s="47">
        <f t="shared" si="39"/>
        <v>23</v>
      </c>
      <c r="W61" s="13"/>
      <c r="X61" s="48">
        <f t="shared" si="41"/>
        <v>0</v>
      </c>
      <c r="Y61" s="48">
        <f t="shared" si="42"/>
        <v>0</v>
      </c>
      <c r="Z61" s="48">
        <f t="shared" si="43"/>
        <v>0</v>
      </c>
      <c r="AA61" s="48">
        <f t="shared" si="44"/>
        <v>0</v>
      </c>
      <c r="AB61" s="48">
        <f t="shared" si="40"/>
        <v>0</v>
      </c>
      <c r="AC61" s="48">
        <f t="shared" si="45"/>
        <v>23</v>
      </c>
      <c r="AD61" s="48">
        <f t="shared" si="29"/>
        <v>23</v>
      </c>
      <c r="AE61" s="271"/>
    </row>
    <row r="62" spans="1:31" ht="64.5" customHeight="1" x14ac:dyDescent="0.25">
      <c r="A62" s="243"/>
      <c r="B62" s="240"/>
      <c r="C62" s="228"/>
      <c r="D62" s="235"/>
      <c r="E62" s="62" t="s">
        <v>165</v>
      </c>
      <c r="F62" s="71" t="s">
        <v>432</v>
      </c>
      <c r="G62" s="64">
        <v>10</v>
      </c>
      <c r="H62" s="65" t="s">
        <v>121</v>
      </c>
      <c r="I62" s="230"/>
      <c r="J62" s="63"/>
      <c r="K62" s="63"/>
      <c r="L62" s="63"/>
      <c r="M62" s="63"/>
      <c r="N62" s="63"/>
      <c r="O62" s="47">
        <v>1</v>
      </c>
      <c r="P62" s="278"/>
      <c r="Q62" s="47">
        <v>0</v>
      </c>
      <c r="R62" s="47">
        <f t="shared" si="35"/>
        <v>2.3000000000000003</v>
      </c>
      <c r="S62" s="47">
        <f t="shared" si="36"/>
        <v>4.6000000000000005</v>
      </c>
      <c r="T62" s="47">
        <f t="shared" si="37"/>
        <v>6.8999999999999995</v>
      </c>
      <c r="U62" s="47">
        <f t="shared" si="38"/>
        <v>13.799999999999999</v>
      </c>
      <c r="V62" s="47">
        <f t="shared" si="39"/>
        <v>23</v>
      </c>
      <c r="W62" s="13"/>
      <c r="X62" s="48">
        <f t="shared" si="41"/>
        <v>0</v>
      </c>
      <c r="Y62" s="48">
        <f t="shared" si="42"/>
        <v>0</v>
      </c>
      <c r="Z62" s="48">
        <f t="shared" si="43"/>
        <v>0</v>
      </c>
      <c r="AA62" s="48">
        <f t="shared" si="44"/>
        <v>0</v>
      </c>
      <c r="AB62" s="48">
        <f t="shared" si="40"/>
        <v>0</v>
      </c>
      <c r="AC62" s="48">
        <f t="shared" si="45"/>
        <v>23</v>
      </c>
      <c r="AD62" s="48">
        <f t="shared" ref="AD62:AD98" si="52">X62+Y62+Z62+AA62+AB62+AC62</f>
        <v>23</v>
      </c>
      <c r="AE62" s="271"/>
    </row>
    <row r="63" spans="1:31" ht="60" customHeight="1" x14ac:dyDescent="0.25">
      <c r="A63" s="243"/>
      <c r="B63" s="240"/>
      <c r="C63" s="228"/>
      <c r="D63" s="235"/>
      <c r="E63" s="60" t="s">
        <v>166</v>
      </c>
      <c r="F63" s="71" t="s">
        <v>434</v>
      </c>
      <c r="G63" s="62">
        <v>11</v>
      </c>
      <c r="H63" s="61" t="s">
        <v>51</v>
      </c>
      <c r="I63" s="230"/>
      <c r="J63" s="63"/>
      <c r="K63" s="63"/>
      <c r="L63" s="63"/>
      <c r="M63" s="63"/>
      <c r="N63" s="63"/>
      <c r="O63" s="47">
        <v>1</v>
      </c>
      <c r="P63" s="278"/>
      <c r="Q63" s="39">
        <v>0</v>
      </c>
      <c r="R63" s="47">
        <f t="shared" si="35"/>
        <v>2.3000000000000003</v>
      </c>
      <c r="S63" s="47">
        <f t="shared" si="36"/>
        <v>4.6000000000000005</v>
      </c>
      <c r="T63" s="47">
        <f t="shared" si="37"/>
        <v>6.8999999999999995</v>
      </c>
      <c r="U63" s="47">
        <f t="shared" si="38"/>
        <v>13.799999999999999</v>
      </c>
      <c r="V63" s="47">
        <f t="shared" si="39"/>
        <v>23</v>
      </c>
      <c r="W63" s="13"/>
      <c r="X63" s="15">
        <f t="shared" si="41"/>
        <v>0</v>
      </c>
      <c r="Y63" s="15">
        <f>K63*R63</f>
        <v>0</v>
      </c>
      <c r="Z63" s="15">
        <f>L63*S63</f>
        <v>0</v>
      </c>
      <c r="AA63" s="15">
        <f>M63*T63</f>
        <v>0</v>
      </c>
      <c r="AB63" s="15">
        <f>N63*U63</f>
        <v>0</v>
      </c>
      <c r="AC63" s="15">
        <f>O63*V63</f>
        <v>23</v>
      </c>
      <c r="AD63" s="15">
        <f t="shared" si="52"/>
        <v>23</v>
      </c>
      <c r="AE63" s="271"/>
    </row>
    <row r="64" spans="1:31" ht="54.75" customHeight="1" x14ac:dyDescent="0.25">
      <c r="A64" s="244"/>
      <c r="B64" s="241"/>
      <c r="C64" s="60">
        <v>6.3</v>
      </c>
      <c r="D64" s="61" t="s">
        <v>52</v>
      </c>
      <c r="E64" s="60" t="s">
        <v>167</v>
      </c>
      <c r="F64" s="71" t="s">
        <v>122</v>
      </c>
      <c r="G64" s="62">
        <v>12</v>
      </c>
      <c r="H64" s="61" t="s">
        <v>373</v>
      </c>
      <c r="I64" s="231"/>
      <c r="J64" s="63"/>
      <c r="K64" s="63"/>
      <c r="L64" s="63"/>
      <c r="M64" s="63"/>
      <c r="N64" s="63"/>
      <c r="O64" s="47">
        <v>1</v>
      </c>
      <c r="P64" s="278"/>
      <c r="Q64" s="39">
        <v>0</v>
      </c>
      <c r="R64" s="42">
        <f>20.62*0.1</f>
        <v>2.0620000000000003</v>
      </c>
      <c r="S64" s="42">
        <f>20.62*0.2</f>
        <v>4.1240000000000006</v>
      </c>
      <c r="T64" s="42">
        <f>20.62*0.3</f>
        <v>6.1859999999999999</v>
      </c>
      <c r="U64" s="42">
        <f>20.62*0.6</f>
        <v>12.372</v>
      </c>
      <c r="V64" s="42">
        <f>20.62*1</f>
        <v>20.62</v>
      </c>
      <c r="W64" s="13"/>
      <c r="X64" s="15">
        <f t="shared" si="41"/>
        <v>0</v>
      </c>
      <c r="Y64" s="15">
        <f t="shared" si="42"/>
        <v>0</v>
      </c>
      <c r="Z64" s="15">
        <f>L64*S64</f>
        <v>0</v>
      </c>
      <c r="AA64" s="15">
        <f>M64*T64</f>
        <v>0</v>
      </c>
      <c r="AB64" s="15">
        <f>N64*U64</f>
        <v>0</v>
      </c>
      <c r="AC64" s="15">
        <f>O64*V64</f>
        <v>20.62</v>
      </c>
      <c r="AD64" s="15">
        <f t="shared" si="52"/>
        <v>20.62</v>
      </c>
      <c r="AE64" s="272"/>
    </row>
    <row r="65" spans="1:31" ht="36" x14ac:dyDescent="0.25">
      <c r="A65" s="242">
        <v>7</v>
      </c>
      <c r="B65" s="239" t="s">
        <v>53</v>
      </c>
      <c r="C65" s="228">
        <v>7.1</v>
      </c>
      <c r="D65" s="235" t="s">
        <v>123</v>
      </c>
      <c r="E65" s="228" t="s">
        <v>168</v>
      </c>
      <c r="F65" s="269" t="s">
        <v>124</v>
      </c>
      <c r="G65" s="62">
        <v>1</v>
      </c>
      <c r="H65" s="61" t="s">
        <v>382</v>
      </c>
      <c r="I65" s="229" t="s">
        <v>366</v>
      </c>
      <c r="J65" s="63"/>
      <c r="K65" s="63"/>
      <c r="L65" s="63"/>
      <c r="M65" s="63"/>
      <c r="N65" s="63"/>
      <c r="O65" s="47">
        <v>1</v>
      </c>
      <c r="P65" s="278"/>
      <c r="Q65" s="39">
        <v>0</v>
      </c>
      <c r="R65" s="42">
        <f t="shared" ref="R65:R68" si="53">20.62*0.1</f>
        <v>2.0620000000000003</v>
      </c>
      <c r="S65" s="42">
        <f t="shared" ref="S65:S68" si="54">20.62*0.2</f>
        <v>4.1240000000000006</v>
      </c>
      <c r="T65" s="42">
        <f t="shared" ref="T65:T68" si="55">20.62*0.3</f>
        <v>6.1859999999999999</v>
      </c>
      <c r="U65" s="42">
        <f t="shared" ref="U65:U68" si="56">20.62*0.6</f>
        <v>12.372</v>
      </c>
      <c r="V65" s="42">
        <f t="shared" ref="V65:V68" si="57">20.62*1</f>
        <v>20.62</v>
      </c>
      <c r="W65" s="13"/>
      <c r="X65" s="15">
        <f t="shared" si="41"/>
        <v>0</v>
      </c>
      <c r="Y65" s="15">
        <f t="shared" si="42"/>
        <v>0</v>
      </c>
      <c r="Z65" s="15">
        <f t="shared" si="43"/>
        <v>0</v>
      </c>
      <c r="AA65" s="15">
        <f t="shared" si="44"/>
        <v>0</v>
      </c>
      <c r="AB65" s="15">
        <f t="shared" si="40"/>
        <v>0</v>
      </c>
      <c r="AC65" s="15">
        <f t="shared" si="45"/>
        <v>20.62</v>
      </c>
      <c r="AD65" s="15">
        <f t="shared" si="52"/>
        <v>20.62</v>
      </c>
      <c r="AE65" s="270">
        <f>SUM(AD65:AD70)</f>
        <v>134.1</v>
      </c>
    </row>
    <row r="66" spans="1:31" ht="60" x14ac:dyDescent="0.25">
      <c r="A66" s="243"/>
      <c r="B66" s="240"/>
      <c r="C66" s="228"/>
      <c r="D66" s="235"/>
      <c r="E66" s="228"/>
      <c r="F66" s="269"/>
      <c r="G66" s="62">
        <v>2</v>
      </c>
      <c r="H66" s="61" t="s">
        <v>456</v>
      </c>
      <c r="I66" s="230"/>
      <c r="J66" s="63"/>
      <c r="K66" s="63"/>
      <c r="L66" s="63"/>
      <c r="M66" s="63"/>
      <c r="N66" s="63"/>
      <c r="O66" s="47">
        <v>1</v>
      </c>
      <c r="P66" s="278"/>
      <c r="Q66" s="39">
        <v>0</v>
      </c>
      <c r="R66" s="42">
        <f t="shared" si="53"/>
        <v>2.0620000000000003</v>
      </c>
      <c r="S66" s="42">
        <f t="shared" si="54"/>
        <v>4.1240000000000006</v>
      </c>
      <c r="T66" s="42">
        <f t="shared" si="55"/>
        <v>6.1859999999999999</v>
      </c>
      <c r="U66" s="42">
        <f t="shared" si="56"/>
        <v>12.372</v>
      </c>
      <c r="V66" s="42">
        <f t="shared" si="57"/>
        <v>20.62</v>
      </c>
      <c r="W66" s="13"/>
      <c r="X66" s="15">
        <f t="shared" si="41"/>
        <v>0</v>
      </c>
      <c r="Y66" s="15">
        <f t="shared" si="42"/>
        <v>0</v>
      </c>
      <c r="Z66" s="15">
        <f t="shared" si="43"/>
        <v>0</v>
      </c>
      <c r="AA66" s="15">
        <f t="shared" si="44"/>
        <v>0</v>
      </c>
      <c r="AB66" s="15">
        <f t="shared" si="40"/>
        <v>0</v>
      </c>
      <c r="AC66" s="15">
        <f t="shared" si="45"/>
        <v>20.62</v>
      </c>
      <c r="AD66" s="15">
        <f t="shared" si="52"/>
        <v>20.62</v>
      </c>
      <c r="AE66" s="271"/>
    </row>
    <row r="67" spans="1:31" ht="72" x14ac:dyDescent="0.25">
      <c r="A67" s="243"/>
      <c r="B67" s="240"/>
      <c r="C67" s="228"/>
      <c r="D67" s="235"/>
      <c r="E67" s="60" t="s">
        <v>169</v>
      </c>
      <c r="F67" s="61" t="s">
        <v>383</v>
      </c>
      <c r="G67" s="62">
        <v>3</v>
      </c>
      <c r="H67" s="61" t="s">
        <v>457</v>
      </c>
      <c r="I67" s="230"/>
      <c r="J67" s="63"/>
      <c r="K67" s="63"/>
      <c r="L67" s="63"/>
      <c r="M67" s="63"/>
      <c r="N67" s="63"/>
      <c r="O67" s="47">
        <v>1</v>
      </c>
      <c r="P67" s="278"/>
      <c r="Q67" s="39">
        <v>0</v>
      </c>
      <c r="R67" s="42">
        <f t="shared" si="53"/>
        <v>2.0620000000000003</v>
      </c>
      <c r="S67" s="42">
        <f t="shared" si="54"/>
        <v>4.1240000000000006</v>
      </c>
      <c r="T67" s="42">
        <f t="shared" si="55"/>
        <v>6.1859999999999999</v>
      </c>
      <c r="U67" s="42">
        <f t="shared" si="56"/>
        <v>12.372</v>
      </c>
      <c r="V67" s="42">
        <f t="shared" si="57"/>
        <v>20.62</v>
      </c>
      <c r="W67" s="13"/>
      <c r="X67" s="15">
        <f t="shared" si="41"/>
        <v>0</v>
      </c>
      <c r="Y67" s="15">
        <f t="shared" si="42"/>
        <v>0</v>
      </c>
      <c r="Z67" s="15">
        <f t="shared" si="43"/>
        <v>0</v>
      </c>
      <c r="AA67" s="15">
        <f t="shared" si="44"/>
        <v>0</v>
      </c>
      <c r="AB67" s="15">
        <f t="shared" si="40"/>
        <v>0</v>
      </c>
      <c r="AC67" s="15">
        <f t="shared" si="45"/>
        <v>20.62</v>
      </c>
      <c r="AD67" s="15">
        <f t="shared" si="52"/>
        <v>20.62</v>
      </c>
      <c r="AE67" s="271"/>
    </row>
    <row r="68" spans="1:31" ht="60" x14ac:dyDescent="0.25">
      <c r="A68" s="243"/>
      <c r="B68" s="240"/>
      <c r="C68" s="60">
        <v>7.2</v>
      </c>
      <c r="D68" s="61" t="s">
        <v>54</v>
      </c>
      <c r="E68" s="60" t="s">
        <v>170</v>
      </c>
      <c r="F68" s="61" t="s">
        <v>125</v>
      </c>
      <c r="G68" s="62">
        <v>4</v>
      </c>
      <c r="H68" s="61" t="s">
        <v>126</v>
      </c>
      <c r="I68" s="230"/>
      <c r="J68" s="63"/>
      <c r="K68" s="63"/>
      <c r="L68" s="63"/>
      <c r="M68" s="63"/>
      <c r="N68" s="63"/>
      <c r="O68" s="47">
        <v>1</v>
      </c>
      <c r="P68" s="278"/>
      <c r="Q68" s="39">
        <v>0</v>
      </c>
      <c r="R68" s="42">
        <f t="shared" si="53"/>
        <v>2.0620000000000003</v>
      </c>
      <c r="S68" s="42">
        <f t="shared" si="54"/>
        <v>4.1240000000000006</v>
      </c>
      <c r="T68" s="42">
        <f t="shared" si="55"/>
        <v>6.1859999999999999</v>
      </c>
      <c r="U68" s="42">
        <f t="shared" si="56"/>
        <v>12.372</v>
      </c>
      <c r="V68" s="42">
        <f t="shared" si="57"/>
        <v>20.62</v>
      </c>
      <c r="W68" s="13"/>
      <c r="X68" s="15">
        <f t="shared" si="41"/>
        <v>0</v>
      </c>
      <c r="Y68" s="15">
        <f t="shared" si="42"/>
        <v>0</v>
      </c>
      <c r="Z68" s="15">
        <f t="shared" si="43"/>
        <v>0</v>
      </c>
      <c r="AA68" s="15">
        <f t="shared" si="44"/>
        <v>0</v>
      </c>
      <c r="AB68" s="15">
        <f t="shared" si="40"/>
        <v>0</v>
      </c>
      <c r="AC68" s="15">
        <f t="shared" si="45"/>
        <v>20.62</v>
      </c>
      <c r="AD68" s="15">
        <f t="shared" si="52"/>
        <v>20.62</v>
      </c>
      <c r="AE68" s="271"/>
    </row>
    <row r="69" spans="1:31" ht="37.5" customHeight="1" x14ac:dyDescent="0.25">
      <c r="A69" s="243"/>
      <c r="B69" s="240"/>
      <c r="C69" s="228">
        <v>7.3</v>
      </c>
      <c r="D69" s="235" t="s">
        <v>55</v>
      </c>
      <c r="E69" s="62" t="s">
        <v>171</v>
      </c>
      <c r="F69" s="61" t="s">
        <v>458</v>
      </c>
      <c r="G69" s="64">
        <v>5</v>
      </c>
      <c r="H69" s="65" t="s">
        <v>127</v>
      </c>
      <c r="I69" s="230"/>
      <c r="J69" s="74"/>
      <c r="K69" s="74"/>
      <c r="L69" s="74"/>
      <c r="M69" s="75"/>
      <c r="N69" s="74"/>
      <c r="O69" s="47">
        <v>1</v>
      </c>
      <c r="P69" s="278"/>
      <c r="Q69" s="47">
        <v>0</v>
      </c>
      <c r="R69" s="42">
        <f>30.5*0.1</f>
        <v>3.0500000000000003</v>
      </c>
      <c r="S69" s="42">
        <f>30.5*0.2</f>
        <v>6.1000000000000005</v>
      </c>
      <c r="T69" s="42">
        <f>30.5*0.3</f>
        <v>9.15</v>
      </c>
      <c r="U69" s="42">
        <f>30.5*0.6</f>
        <v>18.3</v>
      </c>
      <c r="V69" s="42">
        <f>30.5*1</f>
        <v>30.5</v>
      </c>
      <c r="W69" s="13"/>
      <c r="X69" s="48">
        <f t="shared" si="41"/>
        <v>0</v>
      </c>
      <c r="Y69" s="48">
        <f t="shared" si="42"/>
        <v>0</v>
      </c>
      <c r="Z69" s="48">
        <f t="shared" si="43"/>
        <v>0</v>
      </c>
      <c r="AA69" s="48">
        <f t="shared" si="44"/>
        <v>0</v>
      </c>
      <c r="AB69" s="48">
        <f>M69*U69</f>
        <v>0</v>
      </c>
      <c r="AC69" s="48">
        <f t="shared" si="45"/>
        <v>30.5</v>
      </c>
      <c r="AD69" s="48">
        <f t="shared" si="52"/>
        <v>30.5</v>
      </c>
      <c r="AE69" s="271"/>
    </row>
    <row r="70" spans="1:31" ht="72" x14ac:dyDescent="0.25">
      <c r="A70" s="244"/>
      <c r="B70" s="241"/>
      <c r="C70" s="228"/>
      <c r="D70" s="235"/>
      <c r="E70" s="60" t="s">
        <v>172</v>
      </c>
      <c r="F70" s="61" t="s">
        <v>56</v>
      </c>
      <c r="G70" s="62">
        <v>6</v>
      </c>
      <c r="H70" s="61" t="s">
        <v>384</v>
      </c>
      <c r="I70" s="231"/>
      <c r="J70" s="63"/>
      <c r="K70" s="63"/>
      <c r="L70" s="63"/>
      <c r="M70" s="63"/>
      <c r="N70" s="63"/>
      <c r="O70" s="47">
        <v>1</v>
      </c>
      <c r="P70" s="278"/>
      <c r="Q70" s="39">
        <v>0</v>
      </c>
      <c r="R70" s="58">
        <f>21.12*0.1</f>
        <v>2.1120000000000001</v>
      </c>
      <c r="S70" s="58">
        <f>21.12*0.2</f>
        <v>4.2240000000000002</v>
      </c>
      <c r="T70" s="58">
        <f>21.12*0.3</f>
        <v>6.3360000000000003</v>
      </c>
      <c r="U70" s="58">
        <f>21.12*0.6</f>
        <v>12.672000000000001</v>
      </c>
      <c r="V70" s="58">
        <f>21.12*1</f>
        <v>21.12</v>
      </c>
      <c r="W70" s="13"/>
      <c r="X70" s="15">
        <f t="shared" si="41"/>
        <v>0</v>
      </c>
      <c r="Y70" s="15">
        <f t="shared" si="42"/>
        <v>0</v>
      </c>
      <c r="Z70" s="15">
        <f t="shared" si="43"/>
        <v>0</v>
      </c>
      <c r="AA70" s="15">
        <f t="shared" si="44"/>
        <v>0</v>
      </c>
      <c r="AB70" s="15">
        <f t="shared" si="40"/>
        <v>0</v>
      </c>
      <c r="AC70" s="15">
        <f t="shared" si="45"/>
        <v>21.12</v>
      </c>
      <c r="AD70" s="15">
        <f t="shared" si="52"/>
        <v>21.12</v>
      </c>
      <c r="AE70" s="272"/>
    </row>
    <row r="71" spans="1:31" ht="36" x14ac:dyDescent="0.25">
      <c r="A71" s="242">
        <v>8</v>
      </c>
      <c r="B71" s="239" t="s">
        <v>57</v>
      </c>
      <c r="C71" s="60">
        <v>8.1</v>
      </c>
      <c r="D71" s="61" t="s">
        <v>58</v>
      </c>
      <c r="E71" s="60" t="s">
        <v>173</v>
      </c>
      <c r="F71" s="61" t="s">
        <v>59</v>
      </c>
      <c r="G71" s="62">
        <v>1</v>
      </c>
      <c r="H71" s="61" t="s">
        <v>128</v>
      </c>
      <c r="I71" s="229" t="s">
        <v>247</v>
      </c>
      <c r="J71" s="63"/>
      <c r="K71" s="63"/>
      <c r="L71" s="63"/>
      <c r="M71" s="63"/>
      <c r="N71" s="63"/>
      <c r="O71" s="47">
        <v>1</v>
      </c>
      <c r="P71" s="278"/>
      <c r="Q71" s="39">
        <v>0</v>
      </c>
      <c r="R71" s="47">
        <f>15.5*0.1</f>
        <v>1.55</v>
      </c>
      <c r="S71" s="47">
        <f>15.5*0.2</f>
        <v>3.1</v>
      </c>
      <c r="T71" s="47">
        <f>15.5*0.3</f>
        <v>4.6499999999999995</v>
      </c>
      <c r="U71" s="47">
        <f>15.5*0.6</f>
        <v>9.2999999999999989</v>
      </c>
      <c r="V71" s="39">
        <f>15.5*1</f>
        <v>15.5</v>
      </c>
      <c r="W71" s="13"/>
      <c r="X71" s="15">
        <f t="shared" si="41"/>
        <v>0</v>
      </c>
      <c r="Y71" s="15">
        <f t="shared" si="42"/>
        <v>0</v>
      </c>
      <c r="Z71" s="15">
        <f t="shared" si="43"/>
        <v>0</v>
      </c>
      <c r="AA71" s="15">
        <f t="shared" si="44"/>
        <v>0</v>
      </c>
      <c r="AB71" s="15">
        <f t="shared" si="40"/>
        <v>0</v>
      </c>
      <c r="AC71" s="15">
        <f t="shared" si="45"/>
        <v>15.5</v>
      </c>
      <c r="AD71" s="15">
        <f t="shared" si="52"/>
        <v>15.5</v>
      </c>
      <c r="AE71" s="270">
        <f>SUM(AD71:AD74)</f>
        <v>66.5</v>
      </c>
    </row>
    <row r="72" spans="1:31" ht="48" x14ac:dyDescent="0.25">
      <c r="A72" s="243"/>
      <c r="B72" s="240"/>
      <c r="C72" s="228">
        <v>8.1999999999999993</v>
      </c>
      <c r="D72" s="268" t="s">
        <v>60</v>
      </c>
      <c r="E72" s="60" t="s">
        <v>174</v>
      </c>
      <c r="F72" s="61" t="s">
        <v>61</v>
      </c>
      <c r="G72" s="62">
        <v>2</v>
      </c>
      <c r="H72" s="61" t="s">
        <v>129</v>
      </c>
      <c r="I72" s="230"/>
      <c r="J72" s="63"/>
      <c r="K72" s="63"/>
      <c r="L72" s="63"/>
      <c r="M72" s="63"/>
      <c r="N72" s="63"/>
      <c r="O72" s="47">
        <v>1</v>
      </c>
      <c r="P72" s="278"/>
      <c r="Q72" s="39">
        <v>0</v>
      </c>
      <c r="R72" s="47">
        <f t="shared" ref="R72:R73" si="58">15.5*0.1</f>
        <v>1.55</v>
      </c>
      <c r="S72" s="47">
        <f t="shared" ref="S72:S73" si="59">15.5*0.2</f>
        <v>3.1</v>
      </c>
      <c r="T72" s="47">
        <f t="shared" ref="T72:T73" si="60">15.5*0.3</f>
        <v>4.6499999999999995</v>
      </c>
      <c r="U72" s="47">
        <f t="shared" ref="U72:U73" si="61">15.5*0.6</f>
        <v>9.2999999999999989</v>
      </c>
      <c r="V72" s="47">
        <f t="shared" ref="V72:V73" si="62">15.5*1</f>
        <v>15.5</v>
      </c>
      <c r="W72" s="13"/>
      <c r="X72" s="15">
        <f t="shared" si="41"/>
        <v>0</v>
      </c>
      <c r="Y72" s="15">
        <f t="shared" si="42"/>
        <v>0</v>
      </c>
      <c r="Z72" s="15">
        <f t="shared" si="43"/>
        <v>0</v>
      </c>
      <c r="AA72" s="15">
        <f t="shared" si="44"/>
        <v>0</v>
      </c>
      <c r="AB72" s="15">
        <f t="shared" si="40"/>
        <v>0</v>
      </c>
      <c r="AC72" s="15">
        <f t="shared" si="45"/>
        <v>15.5</v>
      </c>
      <c r="AD72" s="15">
        <f t="shared" si="52"/>
        <v>15.5</v>
      </c>
      <c r="AE72" s="271"/>
    </row>
    <row r="73" spans="1:31" ht="34.5" customHeight="1" x14ac:dyDescent="0.25">
      <c r="A73" s="243"/>
      <c r="B73" s="240"/>
      <c r="C73" s="228"/>
      <c r="D73" s="268"/>
      <c r="E73" s="228" t="s">
        <v>175</v>
      </c>
      <c r="F73" s="269" t="s">
        <v>435</v>
      </c>
      <c r="G73" s="62">
        <v>3</v>
      </c>
      <c r="H73" s="61" t="s">
        <v>385</v>
      </c>
      <c r="I73" s="230"/>
      <c r="J73" s="63"/>
      <c r="K73" s="63"/>
      <c r="L73" s="63"/>
      <c r="M73" s="63"/>
      <c r="N73" s="63"/>
      <c r="O73" s="47">
        <v>1</v>
      </c>
      <c r="P73" s="278"/>
      <c r="Q73" s="39">
        <v>0</v>
      </c>
      <c r="R73" s="47">
        <f t="shared" si="58"/>
        <v>1.55</v>
      </c>
      <c r="S73" s="47">
        <f t="shared" si="59"/>
        <v>3.1</v>
      </c>
      <c r="T73" s="47">
        <f t="shared" si="60"/>
        <v>4.6499999999999995</v>
      </c>
      <c r="U73" s="47">
        <f t="shared" si="61"/>
        <v>9.2999999999999989</v>
      </c>
      <c r="V73" s="47">
        <f t="shared" si="62"/>
        <v>15.5</v>
      </c>
      <c r="W73" s="13"/>
      <c r="X73" s="15">
        <f t="shared" si="41"/>
        <v>0</v>
      </c>
      <c r="Y73" s="15">
        <f t="shared" si="42"/>
        <v>0</v>
      </c>
      <c r="Z73" s="15">
        <f t="shared" si="43"/>
        <v>0</v>
      </c>
      <c r="AA73" s="15">
        <f t="shared" si="44"/>
        <v>0</v>
      </c>
      <c r="AB73" s="15">
        <f t="shared" si="40"/>
        <v>0</v>
      </c>
      <c r="AC73" s="15">
        <f t="shared" si="45"/>
        <v>15.5</v>
      </c>
      <c r="AD73" s="15">
        <f t="shared" si="52"/>
        <v>15.5</v>
      </c>
      <c r="AE73" s="271"/>
    </row>
    <row r="74" spans="1:31" ht="39.75" customHeight="1" x14ac:dyDescent="0.25">
      <c r="A74" s="244"/>
      <c r="B74" s="241"/>
      <c r="C74" s="228"/>
      <c r="D74" s="268"/>
      <c r="E74" s="228"/>
      <c r="F74" s="269"/>
      <c r="G74" s="62">
        <v>4</v>
      </c>
      <c r="H74" s="61" t="s">
        <v>130</v>
      </c>
      <c r="I74" s="231"/>
      <c r="J74" s="63"/>
      <c r="K74" s="63"/>
      <c r="L74" s="63"/>
      <c r="M74" s="63"/>
      <c r="N74" s="63"/>
      <c r="O74" s="47">
        <v>1</v>
      </c>
      <c r="P74" s="278"/>
      <c r="Q74" s="39">
        <v>0</v>
      </c>
      <c r="R74" s="47">
        <f>20*0.1</f>
        <v>2</v>
      </c>
      <c r="S74" s="47">
        <f>20*0.2</f>
        <v>4</v>
      </c>
      <c r="T74" s="47">
        <f>20*0.3</f>
        <v>6</v>
      </c>
      <c r="U74" s="47">
        <f>20*0.6</f>
        <v>12</v>
      </c>
      <c r="V74" s="39">
        <f>20*1</f>
        <v>20</v>
      </c>
      <c r="W74" s="13"/>
      <c r="X74" s="15">
        <f t="shared" si="41"/>
        <v>0</v>
      </c>
      <c r="Y74" s="15">
        <f t="shared" si="42"/>
        <v>0</v>
      </c>
      <c r="Z74" s="15">
        <f t="shared" si="43"/>
        <v>0</v>
      </c>
      <c r="AA74" s="15">
        <f t="shared" si="44"/>
        <v>0</v>
      </c>
      <c r="AB74" s="15">
        <f t="shared" si="40"/>
        <v>0</v>
      </c>
      <c r="AC74" s="15">
        <f t="shared" si="45"/>
        <v>20</v>
      </c>
      <c r="AD74" s="15">
        <f t="shared" si="52"/>
        <v>20</v>
      </c>
      <c r="AE74" s="272"/>
    </row>
    <row r="75" spans="1:31" ht="40.5" customHeight="1" x14ac:dyDescent="0.25">
      <c r="A75" s="242">
        <v>9</v>
      </c>
      <c r="B75" s="239" t="s">
        <v>62</v>
      </c>
      <c r="C75" s="228">
        <v>9.1</v>
      </c>
      <c r="D75" s="235" t="s">
        <v>374</v>
      </c>
      <c r="E75" s="228" t="s">
        <v>396</v>
      </c>
      <c r="F75" s="235" t="s">
        <v>226</v>
      </c>
      <c r="G75" s="64">
        <v>1</v>
      </c>
      <c r="H75" s="65" t="s">
        <v>227</v>
      </c>
      <c r="I75" s="229" t="s">
        <v>248</v>
      </c>
      <c r="J75" s="63"/>
      <c r="K75" s="63"/>
      <c r="L75" s="63"/>
      <c r="M75" s="63"/>
      <c r="N75" s="63"/>
      <c r="O75" s="47">
        <v>1</v>
      </c>
      <c r="P75" s="278"/>
      <c r="Q75" s="47">
        <v>0</v>
      </c>
      <c r="R75" s="47">
        <f>14*0.1</f>
        <v>1.4000000000000001</v>
      </c>
      <c r="S75" s="47">
        <f>14*0.2</f>
        <v>2.8000000000000003</v>
      </c>
      <c r="T75" s="47">
        <f>14*0.3</f>
        <v>4.2</v>
      </c>
      <c r="U75" s="47">
        <f>14*0.6</f>
        <v>8.4</v>
      </c>
      <c r="V75" s="47">
        <f>14*1</f>
        <v>14</v>
      </c>
      <c r="W75" s="13"/>
      <c r="X75" s="48">
        <f t="shared" si="41"/>
        <v>0</v>
      </c>
      <c r="Y75" s="48">
        <f t="shared" si="42"/>
        <v>0</v>
      </c>
      <c r="Z75" s="48">
        <f t="shared" si="43"/>
        <v>0</v>
      </c>
      <c r="AA75" s="48">
        <f t="shared" si="44"/>
        <v>0</v>
      </c>
      <c r="AB75" s="48">
        <f t="shared" si="40"/>
        <v>0</v>
      </c>
      <c r="AC75" s="43">
        <f t="shared" si="45"/>
        <v>14</v>
      </c>
      <c r="AD75" s="47">
        <f t="shared" si="52"/>
        <v>14</v>
      </c>
      <c r="AE75" s="270">
        <f>SUM(AD75:AD85)</f>
        <v>150</v>
      </c>
    </row>
    <row r="76" spans="1:31" ht="33.75" x14ac:dyDescent="0.25">
      <c r="A76" s="243"/>
      <c r="B76" s="240"/>
      <c r="C76" s="228"/>
      <c r="D76" s="235"/>
      <c r="E76" s="228"/>
      <c r="F76" s="235"/>
      <c r="G76" s="62">
        <v>2</v>
      </c>
      <c r="H76" s="71" t="s">
        <v>228</v>
      </c>
      <c r="I76" s="230"/>
      <c r="J76" s="63"/>
      <c r="K76" s="63"/>
      <c r="L76" s="63"/>
      <c r="M76" s="63"/>
      <c r="N76" s="63"/>
      <c r="O76" s="47">
        <v>1</v>
      </c>
      <c r="P76" s="278"/>
      <c r="Q76" s="47">
        <v>0</v>
      </c>
      <c r="R76" s="47">
        <f>13.5*0.1</f>
        <v>1.35</v>
      </c>
      <c r="S76" s="47">
        <f>13.5*0.2</f>
        <v>2.7</v>
      </c>
      <c r="T76" s="47">
        <f>13.54*0.3</f>
        <v>4.0619999999999994</v>
      </c>
      <c r="U76" s="47">
        <f>13.54*0.6</f>
        <v>8.1239999999999988</v>
      </c>
      <c r="V76" s="47">
        <f>13.5*1</f>
        <v>13.5</v>
      </c>
      <c r="W76" s="13"/>
      <c r="X76" s="15">
        <f t="shared" si="41"/>
        <v>0</v>
      </c>
      <c r="Y76" s="15">
        <f t="shared" si="42"/>
        <v>0</v>
      </c>
      <c r="Z76" s="15">
        <f t="shared" si="43"/>
        <v>0</v>
      </c>
      <c r="AA76" s="15">
        <f t="shared" si="44"/>
        <v>0</v>
      </c>
      <c r="AB76" s="15">
        <f t="shared" si="40"/>
        <v>0</v>
      </c>
      <c r="AC76" s="15">
        <f t="shared" si="45"/>
        <v>13.5</v>
      </c>
      <c r="AD76" s="15">
        <f t="shared" si="52"/>
        <v>13.5</v>
      </c>
      <c r="AE76" s="271"/>
    </row>
    <row r="77" spans="1:31" ht="44.25" customHeight="1" x14ac:dyDescent="0.25">
      <c r="A77" s="243"/>
      <c r="B77" s="240"/>
      <c r="C77" s="228"/>
      <c r="D77" s="235"/>
      <c r="E77" s="228"/>
      <c r="F77" s="235"/>
      <c r="G77" s="64">
        <v>3</v>
      </c>
      <c r="H77" s="65" t="s">
        <v>386</v>
      </c>
      <c r="I77" s="230"/>
      <c r="J77" s="63"/>
      <c r="K77" s="63"/>
      <c r="L77" s="63"/>
      <c r="M77" s="63"/>
      <c r="N77" s="63"/>
      <c r="O77" s="47">
        <v>1</v>
      </c>
      <c r="P77" s="278"/>
      <c r="Q77" s="47">
        <v>0</v>
      </c>
      <c r="R77" s="47">
        <f t="shared" ref="R77:R85" si="63">13.5*0.1</f>
        <v>1.35</v>
      </c>
      <c r="S77" s="47">
        <f t="shared" ref="S77:S85" si="64">13.5*0.2</f>
        <v>2.7</v>
      </c>
      <c r="T77" s="47">
        <f t="shared" ref="T77:T85" si="65">13.54*0.3</f>
        <v>4.0619999999999994</v>
      </c>
      <c r="U77" s="47">
        <f t="shared" ref="U77:U85" si="66">13.54*0.6</f>
        <v>8.1239999999999988</v>
      </c>
      <c r="V77" s="47">
        <f t="shared" ref="V77:V85" si="67">13.5*1</f>
        <v>13.5</v>
      </c>
      <c r="W77" s="13"/>
      <c r="X77" s="48">
        <f t="shared" si="41"/>
        <v>0</v>
      </c>
      <c r="Y77" s="48">
        <f t="shared" si="42"/>
        <v>0</v>
      </c>
      <c r="Z77" s="48">
        <f t="shared" si="43"/>
        <v>0</v>
      </c>
      <c r="AA77" s="48">
        <f t="shared" si="44"/>
        <v>0</v>
      </c>
      <c r="AB77" s="48">
        <f t="shared" si="40"/>
        <v>0</v>
      </c>
      <c r="AC77" s="48">
        <f t="shared" si="45"/>
        <v>13.5</v>
      </c>
      <c r="AD77" s="48">
        <f t="shared" si="52"/>
        <v>13.5</v>
      </c>
      <c r="AE77" s="271"/>
    </row>
    <row r="78" spans="1:31" ht="60" x14ac:dyDescent="0.25">
      <c r="A78" s="243"/>
      <c r="B78" s="240"/>
      <c r="C78" s="228"/>
      <c r="D78" s="235"/>
      <c r="E78" s="228"/>
      <c r="F78" s="235"/>
      <c r="G78" s="62">
        <v>4</v>
      </c>
      <c r="H78" s="61" t="s">
        <v>229</v>
      </c>
      <c r="I78" s="230"/>
      <c r="J78" s="63"/>
      <c r="K78" s="63"/>
      <c r="L78" s="63"/>
      <c r="M78" s="63"/>
      <c r="N78" s="63"/>
      <c r="O78" s="47">
        <v>1</v>
      </c>
      <c r="P78" s="278"/>
      <c r="Q78" s="47">
        <v>0</v>
      </c>
      <c r="R78" s="47">
        <f t="shared" si="63"/>
        <v>1.35</v>
      </c>
      <c r="S78" s="47">
        <f t="shared" si="64"/>
        <v>2.7</v>
      </c>
      <c r="T78" s="47">
        <f t="shared" si="65"/>
        <v>4.0619999999999994</v>
      </c>
      <c r="U78" s="47">
        <f t="shared" si="66"/>
        <v>8.1239999999999988</v>
      </c>
      <c r="V78" s="47">
        <f t="shared" si="67"/>
        <v>13.5</v>
      </c>
      <c r="W78" s="13"/>
      <c r="X78" s="15">
        <f t="shared" si="41"/>
        <v>0</v>
      </c>
      <c r="Y78" s="15">
        <f t="shared" si="42"/>
        <v>0</v>
      </c>
      <c r="Z78" s="15">
        <f t="shared" si="43"/>
        <v>0</v>
      </c>
      <c r="AA78" s="15">
        <f t="shared" si="44"/>
        <v>0</v>
      </c>
      <c r="AB78" s="15">
        <f t="shared" si="40"/>
        <v>0</v>
      </c>
      <c r="AC78" s="15">
        <f t="shared" si="45"/>
        <v>13.5</v>
      </c>
      <c r="AD78" s="15">
        <f t="shared" si="52"/>
        <v>13.5</v>
      </c>
      <c r="AE78" s="271"/>
    </row>
    <row r="79" spans="1:31" ht="72" x14ac:dyDescent="0.25">
      <c r="A79" s="243"/>
      <c r="B79" s="240"/>
      <c r="C79" s="228"/>
      <c r="D79" s="235"/>
      <c r="E79" s="228"/>
      <c r="F79" s="235"/>
      <c r="G79" s="62">
        <v>5</v>
      </c>
      <c r="H79" s="61" t="s">
        <v>387</v>
      </c>
      <c r="I79" s="230"/>
      <c r="J79" s="63"/>
      <c r="K79" s="63"/>
      <c r="L79" s="63"/>
      <c r="M79" s="63"/>
      <c r="N79" s="63"/>
      <c r="O79" s="47">
        <v>1</v>
      </c>
      <c r="P79" s="278"/>
      <c r="Q79" s="47">
        <v>0</v>
      </c>
      <c r="R79" s="47">
        <f t="shared" si="63"/>
        <v>1.35</v>
      </c>
      <c r="S79" s="47">
        <f t="shared" si="64"/>
        <v>2.7</v>
      </c>
      <c r="T79" s="47">
        <f t="shared" si="65"/>
        <v>4.0619999999999994</v>
      </c>
      <c r="U79" s="47">
        <f t="shared" si="66"/>
        <v>8.1239999999999988</v>
      </c>
      <c r="V79" s="47">
        <f t="shared" si="67"/>
        <v>13.5</v>
      </c>
      <c r="W79" s="13"/>
      <c r="X79" s="15">
        <f t="shared" si="41"/>
        <v>0</v>
      </c>
      <c r="Y79" s="15">
        <f t="shared" si="42"/>
        <v>0</v>
      </c>
      <c r="Z79" s="15">
        <f t="shared" si="43"/>
        <v>0</v>
      </c>
      <c r="AA79" s="15">
        <f t="shared" si="44"/>
        <v>0</v>
      </c>
      <c r="AB79" s="15">
        <f t="shared" si="40"/>
        <v>0</v>
      </c>
      <c r="AC79" s="15">
        <f t="shared" si="45"/>
        <v>13.5</v>
      </c>
      <c r="AD79" s="15">
        <f t="shared" si="52"/>
        <v>13.5</v>
      </c>
      <c r="AE79" s="271"/>
    </row>
    <row r="80" spans="1:31" ht="48" x14ac:dyDescent="0.25">
      <c r="A80" s="243"/>
      <c r="B80" s="240"/>
      <c r="C80" s="228"/>
      <c r="D80" s="235"/>
      <c r="E80" s="228"/>
      <c r="F80" s="235"/>
      <c r="G80" s="62">
        <v>6</v>
      </c>
      <c r="H80" s="76" t="s">
        <v>230</v>
      </c>
      <c r="I80" s="230"/>
      <c r="J80" s="63"/>
      <c r="K80" s="63"/>
      <c r="L80" s="63"/>
      <c r="M80" s="63"/>
      <c r="N80" s="63"/>
      <c r="O80" s="47">
        <v>1</v>
      </c>
      <c r="P80" s="278"/>
      <c r="Q80" s="47">
        <v>0</v>
      </c>
      <c r="R80" s="47">
        <f t="shared" si="63"/>
        <v>1.35</v>
      </c>
      <c r="S80" s="47">
        <f t="shared" si="64"/>
        <v>2.7</v>
      </c>
      <c r="T80" s="47">
        <f t="shared" si="65"/>
        <v>4.0619999999999994</v>
      </c>
      <c r="U80" s="47">
        <f t="shared" si="66"/>
        <v>8.1239999999999988</v>
      </c>
      <c r="V80" s="47">
        <f t="shared" si="67"/>
        <v>13.5</v>
      </c>
      <c r="W80" s="13"/>
      <c r="X80" s="15">
        <f t="shared" si="41"/>
        <v>0</v>
      </c>
      <c r="Y80" s="15">
        <f t="shared" si="42"/>
        <v>0</v>
      </c>
      <c r="Z80" s="15">
        <f t="shared" si="43"/>
        <v>0</v>
      </c>
      <c r="AA80" s="15">
        <f t="shared" si="44"/>
        <v>0</v>
      </c>
      <c r="AB80" s="15">
        <f t="shared" si="40"/>
        <v>0</v>
      </c>
      <c r="AC80" s="15">
        <f t="shared" si="45"/>
        <v>13.5</v>
      </c>
      <c r="AD80" s="15">
        <f t="shared" si="52"/>
        <v>13.5</v>
      </c>
      <c r="AE80" s="271"/>
    </row>
    <row r="81" spans="1:31" ht="36" x14ac:dyDescent="0.25">
      <c r="A81" s="243"/>
      <c r="B81" s="240"/>
      <c r="C81" s="228">
        <v>9.1999999999999993</v>
      </c>
      <c r="D81" s="235" t="s">
        <v>63</v>
      </c>
      <c r="E81" s="228" t="s">
        <v>397</v>
      </c>
      <c r="F81" s="235" t="s">
        <v>231</v>
      </c>
      <c r="G81" s="62">
        <v>7</v>
      </c>
      <c r="H81" s="61" t="s">
        <v>232</v>
      </c>
      <c r="I81" s="230"/>
      <c r="J81" s="63"/>
      <c r="K81" s="63"/>
      <c r="L81" s="63"/>
      <c r="M81" s="63"/>
      <c r="N81" s="63"/>
      <c r="O81" s="47">
        <v>1</v>
      </c>
      <c r="P81" s="278"/>
      <c r="Q81" s="47">
        <v>0</v>
      </c>
      <c r="R81" s="47">
        <f t="shared" si="63"/>
        <v>1.35</v>
      </c>
      <c r="S81" s="47">
        <f t="shared" si="64"/>
        <v>2.7</v>
      </c>
      <c r="T81" s="47">
        <f t="shared" si="65"/>
        <v>4.0619999999999994</v>
      </c>
      <c r="U81" s="47">
        <f t="shared" si="66"/>
        <v>8.1239999999999988</v>
      </c>
      <c r="V81" s="47">
        <f t="shared" si="67"/>
        <v>13.5</v>
      </c>
      <c r="W81" s="13"/>
      <c r="X81" s="15">
        <f t="shared" si="41"/>
        <v>0</v>
      </c>
      <c r="Y81" s="15">
        <f t="shared" si="42"/>
        <v>0</v>
      </c>
      <c r="Z81" s="15">
        <f t="shared" si="43"/>
        <v>0</v>
      </c>
      <c r="AA81" s="15">
        <f t="shared" si="44"/>
        <v>0</v>
      </c>
      <c r="AB81" s="15">
        <f t="shared" si="40"/>
        <v>0</v>
      </c>
      <c r="AC81" s="15">
        <f t="shared" si="45"/>
        <v>13.5</v>
      </c>
      <c r="AD81" s="15">
        <f t="shared" si="52"/>
        <v>13.5</v>
      </c>
      <c r="AE81" s="271"/>
    </row>
    <row r="82" spans="1:31" ht="72" x14ac:dyDescent="0.25">
      <c r="A82" s="243"/>
      <c r="B82" s="240"/>
      <c r="C82" s="228"/>
      <c r="D82" s="235"/>
      <c r="E82" s="228"/>
      <c r="F82" s="235"/>
      <c r="G82" s="62">
        <v>8</v>
      </c>
      <c r="H82" s="61" t="s">
        <v>388</v>
      </c>
      <c r="I82" s="230"/>
      <c r="J82" s="63"/>
      <c r="K82" s="63"/>
      <c r="L82" s="63"/>
      <c r="M82" s="63"/>
      <c r="N82" s="63"/>
      <c r="O82" s="47">
        <v>1</v>
      </c>
      <c r="P82" s="278"/>
      <c r="Q82" s="47">
        <v>0</v>
      </c>
      <c r="R82" s="47">
        <f t="shared" si="63"/>
        <v>1.35</v>
      </c>
      <c r="S82" s="47">
        <f t="shared" si="64"/>
        <v>2.7</v>
      </c>
      <c r="T82" s="47">
        <f t="shared" si="65"/>
        <v>4.0619999999999994</v>
      </c>
      <c r="U82" s="47">
        <f t="shared" si="66"/>
        <v>8.1239999999999988</v>
      </c>
      <c r="V82" s="47">
        <f t="shared" si="67"/>
        <v>13.5</v>
      </c>
      <c r="W82" s="13"/>
      <c r="X82" s="15">
        <f t="shared" si="41"/>
        <v>0</v>
      </c>
      <c r="Y82" s="15">
        <f t="shared" si="42"/>
        <v>0</v>
      </c>
      <c r="Z82" s="15">
        <f t="shared" si="43"/>
        <v>0</v>
      </c>
      <c r="AA82" s="15">
        <f t="shared" si="44"/>
        <v>0</v>
      </c>
      <c r="AB82" s="15">
        <f t="shared" si="40"/>
        <v>0</v>
      </c>
      <c r="AC82" s="15">
        <f t="shared" si="45"/>
        <v>13.5</v>
      </c>
      <c r="AD82" s="15">
        <f t="shared" si="52"/>
        <v>13.5</v>
      </c>
      <c r="AE82" s="271"/>
    </row>
    <row r="83" spans="1:31" ht="48" x14ac:dyDescent="0.25">
      <c r="A83" s="243"/>
      <c r="B83" s="240"/>
      <c r="C83" s="228"/>
      <c r="D83" s="235"/>
      <c r="E83" s="228"/>
      <c r="F83" s="235"/>
      <c r="G83" s="62">
        <v>9</v>
      </c>
      <c r="H83" s="61" t="s">
        <v>233</v>
      </c>
      <c r="I83" s="230"/>
      <c r="J83" s="63"/>
      <c r="K83" s="63"/>
      <c r="L83" s="63"/>
      <c r="M83" s="63"/>
      <c r="N83" s="63"/>
      <c r="O83" s="47">
        <v>1</v>
      </c>
      <c r="P83" s="278"/>
      <c r="Q83" s="47">
        <v>0</v>
      </c>
      <c r="R83" s="47">
        <f>13.5*0.1</f>
        <v>1.35</v>
      </c>
      <c r="S83" s="47">
        <f>13.5*0.2</f>
        <v>2.7</v>
      </c>
      <c r="T83" s="47">
        <f>13.54*0.3</f>
        <v>4.0619999999999994</v>
      </c>
      <c r="U83" s="47">
        <f>13.54*0.6</f>
        <v>8.1239999999999988</v>
      </c>
      <c r="V83" s="47">
        <f>13.5*1</f>
        <v>13.5</v>
      </c>
      <c r="W83" s="13"/>
      <c r="X83" s="15">
        <f t="shared" si="41"/>
        <v>0</v>
      </c>
      <c r="Y83" s="15">
        <f t="shared" si="42"/>
        <v>0</v>
      </c>
      <c r="Z83" s="15">
        <f t="shared" si="43"/>
        <v>0</v>
      </c>
      <c r="AA83" s="15">
        <f t="shared" si="44"/>
        <v>0</v>
      </c>
      <c r="AB83" s="15">
        <f t="shared" si="40"/>
        <v>0</v>
      </c>
      <c r="AC83" s="15">
        <f t="shared" si="45"/>
        <v>13.5</v>
      </c>
      <c r="AD83" s="15">
        <f t="shared" si="52"/>
        <v>13.5</v>
      </c>
      <c r="AE83" s="271"/>
    </row>
    <row r="84" spans="1:31" ht="36" x14ac:dyDescent="0.25">
      <c r="A84" s="243"/>
      <c r="B84" s="240"/>
      <c r="C84" s="228"/>
      <c r="D84" s="235"/>
      <c r="E84" s="228"/>
      <c r="F84" s="235"/>
      <c r="G84" s="62">
        <v>10</v>
      </c>
      <c r="H84" s="61" t="s">
        <v>64</v>
      </c>
      <c r="I84" s="230"/>
      <c r="J84" s="63"/>
      <c r="K84" s="63"/>
      <c r="L84" s="63"/>
      <c r="M84" s="63"/>
      <c r="N84" s="63"/>
      <c r="O84" s="47">
        <v>1</v>
      </c>
      <c r="P84" s="278"/>
      <c r="Q84" s="47">
        <v>0</v>
      </c>
      <c r="R84" s="47">
        <f t="shared" ref="R81:R85" si="68">14*0.1</f>
        <v>1.4000000000000001</v>
      </c>
      <c r="S84" s="47">
        <f t="shared" ref="S81:S85" si="69">14*0.2</f>
        <v>2.8000000000000003</v>
      </c>
      <c r="T84" s="47">
        <f t="shared" ref="T81:T85" si="70">14*0.3</f>
        <v>4.2</v>
      </c>
      <c r="U84" s="47">
        <f t="shared" ref="U81:U85" si="71">14*0.6</f>
        <v>8.4</v>
      </c>
      <c r="V84" s="47">
        <f t="shared" ref="V81:V85" si="72">14*1</f>
        <v>14</v>
      </c>
      <c r="W84" s="13"/>
      <c r="X84" s="15">
        <f t="shared" si="41"/>
        <v>0</v>
      </c>
      <c r="Y84" s="15">
        <f t="shared" si="42"/>
        <v>0</v>
      </c>
      <c r="Z84" s="15">
        <f t="shared" si="43"/>
        <v>0</v>
      </c>
      <c r="AA84" s="15">
        <f t="shared" si="44"/>
        <v>0</v>
      </c>
      <c r="AB84" s="15">
        <f t="shared" ref="AB84:AB92" si="73">N84*U84</f>
        <v>0</v>
      </c>
      <c r="AC84" s="15">
        <f t="shared" si="45"/>
        <v>14</v>
      </c>
      <c r="AD84" s="15">
        <f t="shared" si="52"/>
        <v>14</v>
      </c>
      <c r="AE84" s="271"/>
    </row>
    <row r="85" spans="1:31" ht="48" x14ac:dyDescent="0.25">
      <c r="A85" s="243"/>
      <c r="B85" s="240"/>
      <c r="C85" s="228"/>
      <c r="D85" s="235"/>
      <c r="E85" s="228"/>
      <c r="F85" s="235"/>
      <c r="G85" s="62">
        <v>11</v>
      </c>
      <c r="H85" s="61" t="s">
        <v>389</v>
      </c>
      <c r="I85" s="230"/>
      <c r="J85" s="63"/>
      <c r="K85" s="63"/>
      <c r="L85" s="63"/>
      <c r="M85" s="63"/>
      <c r="N85" s="63"/>
      <c r="O85" s="47">
        <v>1</v>
      </c>
      <c r="P85" s="278"/>
      <c r="Q85" s="47">
        <v>0</v>
      </c>
      <c r="R85" s="47">
        <f t="shared" si="68"/>
        <v>1.4000000000000001</v>
      </c>
      <c r="S85" s="47">
        <f t="shared" si="69"/>
        <v>2.8000000000000003</v>
      </c>
      <c r="T85" s="47">
        <f t="shared" si="70"/>
        <v>4.2</v>
      </c>
      <c r="U85" s="47">
        <f t="shared" si="71"/>
        <v>8.4</v>
      </c>
      <c r="V85" s="47">
        <f t="shared" si="72"/>
        <v>14</v>
      </c>
      <c r="W85" s="13"/>
      <c r="X85" s="15">
        <f t="shared" ref="X85:X92" si="74">J85*Q85</f>
        <v>0</v>
      </c>
      <c r="Y85" s="15">
        <f t="shared" ref="Y85:Y92" si="75">K85*R85</f>
        <v>0</v>
      </c>
      <c r="Z85" s="15">
        <f t="shared" ref="Z85:Z92" si="76">L85*S85</f>
        <v>0</v>
      </c>
      <c r="AA85" s="15">
        <f t="shared" ref="AA85:AA92" si="77">M85*T85</f>
        <v>0</v>
      </c>
      <c r="AB85" s="15">
        <f t="shared" si="73"/>
        <v>0</v>
      </c>
      <c r="AC85" s="15">
        <f t="shared" ref="AC85:AC96" si="78">O85*V85</f>
        <v>14</v>
      </c>
      <c r="AD85" s="15">
        <f t="shared" si="52"/>
        <v>14</v>
      </c>
      <c r="AE85" s="271"/>
    </row>
    <row r="86" spans="1:31" ht="105" customHeight="1" x14ac:dyDescent="0.25">
      <c r="A86" s="242">
        <v>10</v>
      </c>
      <c r="B86" s="239" t="s">
        <v>65</v>
      </c>
      <c r="C86" s="228">
        <v>10.1</v>
      </c>
      <c r="D86" s="235" t="s">
        <v>66</v>
      </c>
      <c r="E86" s="228" t="s">
        <v>176</v>
      </c>
      <c r="F86" s="235" t="s">
        <v>131</v>
      </c>
      <c r="G86" s="62">
        <v>1</v>
      </c>
      <c r="H86" s="61" t="s">
        <v>436</v>
      </c>
      <c r="I86" s="229" t="s">
        <v>249</v>
      </c>
      <c r="J86" s="63"/>
      <c r="K86" s="63"/>
      <c r="L86" s="63"/>
      <c r="M86" s="63"/>
      <c r="N86" s="63"/>
      <c r="O86" s="47">
        <v>1</v>
      </c>
      <c r="P86" s="278"/>
      <c r="Q86" s="39">
        <v>0</v>
      </c>
      <c r="R86" s="47">
        <f>12.5*0.1</f>
        <v>1.25</v>
      </c>
      <c r="S86" s="47">
        <f>12.5*0.2</f>
        <v>2.5</v>
      </c>
      <c r="T86" s="47">
        <f>12.5*0.3</f>
        <v>3.75</v>
      </c>
      <c r="U86" s="47">
        <f>12.5*0.6</f>
        <v>7.5</v>
      </c>
      <c r="V86" s="39">
        <f>12.5*1</f>
        <v>12.5</v>
      </c>
      <c r="W86" s="13"/>
      <c r="X86" s="15">
        <f t="shared" si="74"/>
        <v>0</v>
      </c>
      <c r="Y86" s="15">
        <f t="shared" si="75"/>
        <v>0</v>
      </c>
      <c r="Z86" s="15">
        <f t="shared" si="76"/>
        <v>0</v>
      </c>
      <c r="AA86" s="15">
        <f t="shared" si="77"/>
        <v>0</v>
      </c>
      <c r="AB86" s="15">
        <f t="shared" si="73"/>
        <v>0</v>
      </c>
      <c r="AC86" s="15">
        <f t="shared" si="78"/>
        <v>12.5</v>
      </c>
      <c r="AD86" s="15">
        <f t="shared" si="52"/>
        <v>12.5</v>
      </c>
      <c r="AE86" s="271">
        <f>SUM(AD86:AD88)</f>
        <v>37.5</v>
      </c>
    </row>
    <row r="87" spans="1:31" ht="105" customHeight="1" x14ac:dyDescent="0.25">
      <c r="A87" s="243"/>
      <c r="B87" s="240"/>
      <c r="C87" s="228"/>
      <c r="D87" s="235"/>
      <c r="E87" s="228"/>
      <c r="F87" s="235"/>
      <c r="G87" s="62">
        <v>2</v>
      </c>
      <c r="H87" s="61" t="s">
        <v>67</v>
      </c>
      <c r="I87" s="230"/>
      <c r="J87" s="63"/>
      <c r="K87" s="63"/>
      <c r="L87" s="63"/>
      <c r="M87" s="63"/>
      <c r="N87" s="63"/>
      <c r="O87" s="47">
        <v>1</v>
      </c>
      <c r="P87" s="278"/>
      <c r="Q87" s="39">
        <v>0</v>
      </c>
      <c r="R87" s="47">
        <f t="shared" ref="R87:R88" si="79">12.5*0.1</f>
        <v>1.25</v>
      </c>
      <c r="S87" s="47">
        <f t="shared" ref="S87:S88" si="80">12.5*0.2</f>
        <v>2.5</v>
      </c>
      <c r="T87" s="47">
        <f t="shared" ref="T87:T88" si="81">12.5*0.3</f>
        <v>3.75</v>
      </c>
      <c r="U87" s="47">
        <f t="shared" ref="U87:U88" si="82">12.5*0.6</f>
        <v>7.5</v>
      </c>
      <c r="V87" s="47">
        <f t="shared" ref="V87:V88" si="83">12.5*1</f>
        <v>12.5</v>
      </c>
      <c r="W87" s="13"/>
      <c r="X87" s="15">
        <f t="shared" si="74"/>
        <v>0</v>
      </c>
      <c r="Y87" s="15">
        <f t="shared" si="75"/>
        <v>0</v>
      </c>
      <c r="Z87" s="15">
        <f t="shared" si="76"/>
        <v>0</v>
      </c>
      <c r="AA87" s="15">
        <f t="shared" si="77"/>
        <v>0</v>
      </c>
      <c r="AB87" s="15">
        <f t="shared" si="73"/>
        <v>0</v>
      </c>
      <c r="AC87" s="15">
        <f t="shared" si="78"/>
        <v>12.5</v>
      </c>
      <c r="AD87" s="15">
        <f t="shared" si="52"/>
        <v>12.5</v>
      </c>
      <c r="AE87" s="271"/>
    </row>
    <row r="88" spans="1:31" ht="105" customHeight="1" x14ac:dyDescent="0.25">
      <c r="A88" s="243"/>
      <c r="B88" s="240"/>
      <c r="C88" s="62">
        <v>10.199999999999999</v>
      </c>
      <c r="D88" s="61" t="s">
        <v>68</v>
      </c>
      <c r="E88" s="62" t="s">
        <v>177</v>
      </c>
      <c r="F88" s="61" t="s">
        <v>234</v>
      </c>
      <c r="G88" s="64">
        <v>3</v>
      </c>
      <c r="H88" s="65" t="s">
        <v>390</v>
      </c>
      <c r="I88" s="230"/>
      <c r="J88" s="63"/>
      <c r="K88" s="63"/>
      <c r="L88" s="63"/>
      <c r="M88" s="63"/>
      <c r="N88" s="63"/>
      <c r="O88" s="47">
        <v>1</v>
      </c>
      <c r="P88" s="278"/>
      <c r="Q88" s="47">
        <v>0</v>
      </c>
      <c r="R88" s="47">
        <f t="shared" si="79"/>
        <v>1.25</v>
      </c>
      <c r="S88" s="47">
        <f t="shared" si="80"/>
        <v>2.5</v>
      </c>
      <c r="T88" s="47">
        <f t="shared" si="81"/>
        <v>3.75</v>
      </c>
      <c r="U88" s="47">
        <f t="shared" si="82"/>
        <v>7.5</v>
      </c>
      <c r="V88" s="47">
        <f t="shared" si="83"/>
        <v>12.5</v>
      </c>
      <c r="W88" s="13"/>
      <c r="X88" s="48">
        <f t="shared" si="74"/>
        <v>0</v>
      </c>
      <c r="Y88" s="48">
        <f t="shared" si="75"/>
        <v>0</v>
      </c>
      <c r="Z88" s="48">
        <f t="shared" si="76"/>
        <v>0</v>
      </c>
      <c r="AA88" s="48">
        <f t="shared" si="77"/>
        <v>0</v>
      </c>
      <c r="AB88" s="48">
        <f t="shared" si="73"/>
        <v>0</v>
      </c>
      <c r="AC88" s="48">
        <f t="shared" si="78"/>
        <v>12.5</v>
      </c>
      <c r="AD88" s="48">
        <f t="shared" si="52"/>
        <v>12.5</v>
      </c>
      <c r="AE88" s="271"/>
    </row>
    <row r="89" spans="1:31" ht="60" x14ac:dyDescent="0.25">
      <c r="A89" s="242">
        <v>11</v>
      </c>
      <c r="B89" s="239" t="s">
        <v>69</v>
      </c>
      <c r="C89" s="228">
        <v>11.1</v>
      </c>
      <c r="D89" s="235" t="s">
        <v>69</v>
      </c>
      <c r="E89" s="232" t="s">
        <v>178</v>
      </c>
      <c r="F89" s="229" t="s">
        <v>70</v>
      </c>
      <c r="G89" s="62">
        <v>1</v>
      </c>
      <c r="H89" s="61" t="s">
        <v>235</v>
      </c>
      <c r="I89" s="235" t="s">
        <v>367</v>
      </c>
      <c r="J89" s="63"/>
      <c r="K89" s="63"/>
      <c r="L89" s="63"/>
      <c r="M89" s="63"/>
      <c r="N89" s="63"/>
      <c r="O89" s="47">
        <v>1</v>
      </c>
      <c r="P89" s="278"/>
      <c r="Q89" s="39">
        <v>0</v>
      </c>
      <c r="R89" s="47">
        <f>60*0.1</f>
        <v>6</v>
      </c>
      <c r="S89" s="47">
        <f>60*0.2</f>
        <v>12</v>
      </c>
      <c r="T89" s="47">
        <f>60*0.3</f>
        <v>18</v>
      </c>
      <c r="U89" s="47">
        <f>60*0.6</f>
        <v>36</v>
      </c>
      <c r="V89" s="39">
        <f>60*1</f>
        <v>60</v>
      </c>
      <c r="W89" s="13"/>
      <c r="X89" s="15">
        <f t="shared" si="74"/>
        <v>0</v>
      </c>
      <c r="Y89" s="15">
        <f t="shared" si="75"/>
        <v>0</v>
      </c>
      <c r="Z89" s="15">
        <f t="shared" si="76"/>
        <v>0</v>
      </c>
      <c r="AA89" s="15">
        <f t="shared" si="77"/>
        <v>0</v>
      </c>
      <c r="AB89" s="15">
        <f t="shared" si="73"/>
        <v>0</v>
      </c>
      <c r="AC89" s="15">
        <f t="shared" si="78"/>
        <v>60</v>
      </c>
      <c r="AD89" s="15">
        <f t="shared" si="52"/>
        <v>60</v>
      </c>
      <c r="AE89" s="275">
        <f>SUM(AD89:AD92)</f>
        <v>240</v>
      </c>
    </row>
    <row r="90" spans="1:31" ht="36" x14ac:dyDescent="0.25">
      <c r="A90" s="243"/>
      <c r="B90" s="240"/>
      <c r="C90" s="228"/>
      <c r="D90" s="235"/>
      <c r="E90" s="234"/>
      <c r="F90" s="231"/>
      <c r="G90" s="62">
        <v>2</v>
      </c>
      <c r="H90" s="61" t="s">
        <v>236</v>
      </c>
      <c r="I90" s="235"/>
      <c r="J90" s="63"/>
      <c r="K90" s="63"/>
      <c r="L90" s="63"/>
      <c r="M90" s="63"/>
      <c r="N90" s="63"/>
      <c r="O90" s="47">
        <v>1</v>
      </c>
      <c r="P90" s="278"/>
      <c r="Q90" s="39">
        <v>0</v>
      </c>
      <c r="R90" s="47">
        <f t="shared" ref="R90:R92" si="84">60*0.1</f>
        <v>6</v>
      </c>
      <c r="S90" s="47">
        <f t="shared" ref="S90:S92" si="85">60*0.2</f>
        <v>12</v>
      </c>
      <c r="T90" s="47">
        <f t="shared" ref="T90:T92" si="86">60*0.3</f>
        <v>18</v>
      </c>
      <c r="U90" s="47">
        <f t="shared" ref="U90:U92" si="87">60*0.6</f>
        <v>36</v>
      </c>
      <c r="V90" s="47">
        <f t="shared" ref="V90:V92" si="88">60*1</f>
        <v>60</v>
      </c>
      <c r="W90" s="13"/>
      <c r="X90" s="15">
        <f t="shared" si="74"/>
        <v>0</v>
      </c>
      <c r="Y90" s="15">
        <f t="shared" si="75"/>
        <v>0</v>
      </c>
      <c r="Z90" s="15">
        <f t="shared" si="76"/>
        <v>0</v>
      </c>
      <c r="AA90" s="15">
        <f t="shared" si="77"/>
        <v>0</v>
      </c>
      <c r="AB90" s="15">
        <f t="shared" si="73"/>
        <v>0</v>
      </c>
      <c r="AC90" s="15">
        <f t="shared" si="78"/>
        <v>60</v>
      </c>
      <c r="AD90" s="15">
        <f t="shared" si="52"/>
        <v>60</v>
      </c>
      <c r="AE90" s="275"/>
    </row>
    <row r="91" spans="1:31" ht="72" x14ac:dyDescent="0.25">
      <c r="A91" s="243"/>
      <c r="B91" s="240"/>
      <c r="C91" s="228"/>
      <c r="D91" s="235"/>
      <c r="E91" s="64" t="s">
        <v>398</v>
      </c>
      <c r="F91" s="65" t="s">
        <v>71</v>
      </c>
      <c r="G91" s="62">
        <v>3</v>
      </c>
      <c r="H91" s="61" t="s">
        <v>72</v>
      </c>
      <c r="I91" s="235"/>
      <c r="J91" s="63"/>
      <c r="K91" s="63"/>
      <c r="L91" s="63"/>
      <c r="M91" s="63"/>
      <c r="N91" s="63"/>
      <c r="O91" s="47">
        <v>1</v>
      </c>
      <c r="P91" s="278"/>
      <c r="Q91" s="39">
        <v>0</v>
      </c>
      <c r="R91" s="47">
        <f t="shared" si="84"/>
        <v>6</v>
      </c>
      <c r="S91" s="47">
        <f t="shared" si="85"/>
        <v>12</v>
      </c>
      <c r="T91" s="47">
        <f t="shared" si="86"/>
        <v>18</v>
      </c>
      <c r="U91" s="47">
        <f t="shared" si="87"/>
        <v>36</v>
      </c>
      <c r="V91" s="47">
        <f t="shared" si="88"/>
        <v>60</v>
      </c>
      <c r="W91" s="13"/>
      <c r="X91" s="15">
        <f t="shared" si="74"/>
        <v>0</v>
      </c>
      <c r="Y91" s="15">
        <f t="shared" si="75"/>
        <v>0</v>
      </c>
      <c r="Z91" s="15">
        <f t="shared" si="76"/>
        <v>0</v>
      </c>
      <c r="AA91" s="15">
        <f t="shared" si="77"/>
        <v>0</v>
      </c>
      <c r="AB91" s="15">
        <f t="shared" si="73"/>
        <v>0</v>
      </c>
      <c r="AC91" s="15">
        <f t="shared" si="78"/>
        <v>60</v>
      </c>
      <c r="AD91" s="15">
        <f t="shared" si="52"/>
        <v>60</v>
      </c>
      <c r="AE91" s="275"/>
    </row>
    <row r="92" spans="1:31" ht="61.5" customHeight="1" x14ac:dyDescent="0.25">
      <c r="A92" s="243"/>
      <c r="B92" s="240"/>
      <c r="C92" s="64">
        <v>11.2</v>
      </c>
      <c r="D92" s="65" t="s">
        <v>375</v>
      </c>
      <c r="E92" s="69" t="s">
        <v>179</v>
      </c>
      <c r="F92" s="65" t="s">
        <v>237</v>
      </c>
      <c r="G92" s="64">
        <v>4</v>
      </c>
      <c r="H92" s="65" t="s">
        <v>238</v>
      </c>
      <c r="I92" s="229"/>
      <c r="J92" s="63"/>
      <c r="K92" s="63"/>
      <c r="L92" s="63"/>
      <c r="M92" s="63"/>
      <c r="N92" s="63"/>
      <c r="O92" s="47">
        <v>1</v>
      </c>
      <c r="P92" s="278"/>
      <c r="Q92" s="39">
        <v>0</v>
      </c>
      <c r="R92" s="47">
        <f t="shared" si="84"/>
        <v>6</v>
      </c>
      <c r="S92" s="47">
        <f t="shared" si="85"/>
        <v>12</v>
      </c>
      <c r="T92" s="47">
        <f t="shared" si="86"/>
        <v>18</v>
      </c>
      <c r="U92" s="47">
        <f t="shared" si="87"/>
        <v>36</v>
      </c>
      <c r="V92" s="47">
        <f t="shared" si="88"/>
        <v>60</v>
      </c>
      <c r="W92" s="13"/>
      <c r="X92" s="15">
        <f t="shared" si="74"/>
        <v>0</v>
      </c>
      <c r="Y92" s="15">
        <f t="shared" si="75"/>
        <v>0</v>
      </c>
      <c r="Z92" s="15">
        <f t="shared" si="76"/>
        <v>0</v>
      </c>
      <c r="AA92" s="15">
        <f t="shared" si="77"/>
        <v>0</v>
      </c>
      <c r="AB92" s="15">
        <f t="shared" si="73"/>
        <v>0</v>
      </c>
      <c r="AC92" s="15">
        <f t="shared" si="78"/>
        <v>60</v>
      </c>
      <c r="AD92" s="15">
        <f t="shared" si="52"/>
        <v>60</v>
      </c>
      <c r="AE92" s="275"/>
    </row>
    <row r="93" spans="1:31" ht="47.25" customHeight="1" x14ac:dyDescent="0.25">
      <c r="A93" s="237">
        <v>12</v>
      </c>
      <c r="B93" s="282" t="s">
        <v>440</v>
      </c>
      <c r="C93" s="283">
        <v>12.1</v>
      </c>
      <c r="D93" s="284" t="s">
        <v>407</v>
      </c>
      <c r="E93" s="283" t="s">
        <v>180</v>
      </c>
      <c r="F93" s="284" t="s">
        <v>410</v>
      </c>
      <c r="G93" s="77">
        <v>1</v>
      </c>
      <c r="H93" s="78" t="s">
        <v>391</v>
      </c>
      <c r="I93" s="284" t="s">
        <v>441</v>
      </c>
      <c r="J93" s="79"/>
      <c r="K93" s="79"/>
      <c r="L93" s="79"/>
      <c r="M93" s="79"/>
      <c r="N93" s="79"/>
      <c r="O93" s="47">
        <v>1</v>
      </c>
      <c r="P93" s="278"/>
      <c r="Q93" s="39">
        <v>0</v>
      </c>
      <c r="R93" s="41">
        <f>11.694*0.1</f>
        <v>1.1694000000000002</v>
      </c>
      <c r="S93" s="41">
        <f>11.694*0.2</f>
        <v>2.3388000000000004</v>
      </c>
      <c r="T93" s="41">
        <f>11.694*0.3</f>
        <v>3.5082</v>
      </c>
      <c r="U93" s="41">
        <f>11.694*0.6</f>
        <v>7.0164</v>
      </c>
      <c r="V93" s="41">
        <f>11.694*1</f>
        <v>11.694000000000001</v>
      </c>
      <c r="W93" s="36"/>
      <c r="X93" s="15"/>
      <c r="Y93" s="15">
        <f t="shared" ref="Y93:Y94" si="89">K93*R93</f>
        <v>0</v>
      </c>
      <c r="Z93" s="15">
        <f t="shared" ref="Z93:Z94" si="90">L93*S93</f>
        <v>0</v>
      </c>
      <c r="AA93" s="15">
        <f t="shared" ref="AA93:AA94" si="91">M93*T93</f>
        <v>0</v>
      </c>
      <c r="AB93" s="15">
        <f t="shared" ref="AB93:AB94" si="92">N93*U93</f>
        <v>0</v>
      </c>
      <c r="AC93" s="15">
        <f t="shared" si="78"/>
        <v>11.694000000000001</v>
      </c>
      <c r="AD93" s="39">
        <f t="shared" si="52"/>
        <v>11.694000000000001</v>
      </c>
      <c r="AE93" s="275">
        <f>SUM(AD93:AD108)</f>
        <v>239.28399999999999</v>
      </c>
    </row>
    <row r="94" spans="1:31" ht="47.25" customHeight="1" x14ac:dyDescent="0.25">
      <c r="A94" s="237"/>
      <c r="B94" s="282"/>
      <c r="C94" s="283"/>
      <c r="D94" s="284"/>
      <c r="E94" s="283"/>
      <c r="F94" s="284"/>
      <c r="G94" s="77">
        <v>2</v>
      </c>
      <c r="H94" s="78" t="s">
        <v>392</v>
      </c>
      <c r="I94" s="284"/>
      <c r="J94" s="79"/>
      <c r="K94" s="79"/>
      <c r="L94" s="79"/>
      <c r="M94" s="79"/>
      <c r="N94" s="79"/>
      <c r="O94" s="47">
        <v>1</v>
      </c>
      <c r="P94" s="278"/>
      <c r="Q94" s="39">
        <v>0</v>
      </c>
      <c r="R94" s="41">
        <f>7.976*0.1</f>
        <v>0.79760000000000009</v>
      </c>
      <c r="S94" s="41">
        <f>7.976*0.2</f>
        <v>1.5952000000000002</v>
      </c>
      <c r="T94" s="41">
        <f>7.976*0.3</f>
        <v>2.3927999999999998</v>
      </c>
      <c r="U94" s="41">
        <f>7.976*0.6</f>
        <v>4.7855999999999996</v>
      </c>
      <c r="V94" s="41">
        <f>7.976*1</f>
        <v>7.976</v>
      </c>
      <c r="W94" s="276"/>
      <c r="X94" s="15">
        <f t="shared" ref="X94" si="93">J94*Q94</f>
        <v>0</v>
      </c>
      <c r="Y94" s="15">
        <f t="shared" si="89"/>
        <v>0</v>
      </c>
      <c r="Z94" s="15">
        <f t="shared" si="90"/>
        <v>0</v>
      </c>
      <c r="AA94" s="15">
        <f t="shared" si="91"/>
        <v>0</v>
      </c>
      <c r="AB94" s="15">
        <f t="shared" si="92"/>
        <v>0</v>
      </c>
      <c r="AC94" s="15">
        <f t="shared" si="78"/>
        <v>7.976</v>
      </c>
      <c r="AD94" s="39">
        <f t="shared" si="52"/>
        <v>7.976</v>
      </c>
      <c r="AE94" s="275"/>
    </row>
    <row r="95" spans="1:31" ht="47.25" customHeight="1" x14ac:dyDescent="0.25">
      <c r="A95" s="237"/>
      <c r="B95" s="282"/>
      <c r="C95" s="283"/>
      <c r="D95" s="284"/>
      <c r="E95" s="283"/>
      <c r="F95" s="284"/>
      <c r="G95" s="77">
        <v>3</v>
      </c>
      <c r="H95" s="72" t="s">
        <v>393</v>
      </c>
      <c r="I95" s="284"/>
      <c r="J95" s="79"/>
      <c r="K95" s="79"/>
      <c r="L95" s="80"/>
      <c r="M95" s="79"/>
      <c r="N95" s="79"/>
      <c r="O95" s="47">
        <v>1</v>
      </c>
      <c r="P95" s="278"/>
      <c r="Q95" s="39">
        <v>0</v>
      </c>
      <c r="R95" s="41">
        <f>31.904*0.1</f>
        <v>3.1904000000000003</v>
      </c>
      <c r="S95" s="41">
        <f>31.904*0.2</f>
        <v>6.3808000000000007</v>
      </c>
      <c r="T95" s="41">
        <f>31.904*0.3</f>
        <v>9.5711999999999993</v>
      </c>
      <c r="U95" s="41">
        <f>31.904*0.6</f>
        <v>19.142399999999999</v>
      </c>
      <c r="V95" s="41">
        <f>31.904*1</f>
        <v>31.904</v>
      </c>
      <c r="W95" s="277"/>
      <c r="X95" s="15">
        <f t="shared" ref="X95:X96" si="94">J95*Q95</f>
        <v>0</v>
      </c>
      <c r="Y95" s="15">
        <f t="shared" ref="Y95:Y96" si="95">K95*R95</f>
        <v>0</v>
      </c>
      <c r="Z95" s="15">
        <f t="shared" ref="Z95:Z96" si="96">L95*S95</f>
        <v>0</v>
      </c>
      <c r="AA95" s="15">
        <f t="shared" ref="AA95:AA96" si="97">M95*T95</f>
        <v>0</v>
      </c>
      <c r="AB95" s="15">
        <f t="shared" ref="AB95:AB96" si="98">N95*U95</f>
        <v>0</v>
      </c>
      <c r="AC95" s="15">
        <f t="shared" si="78"/>
        <v>31.904</v>
      </c>
      <c r="AD95" s="39">
        <f t="shared" si="52"/>
        <v>31.904</v>
      </c>
      <c r="AE95" s="275"/>
    </row>
    <row r="96" spans="1:31" ht="47.25" customHeight="1" x14ac:dyDescent="0.25">
      <c r="A96" s="237"/>
      <c r="B96" s="282"/>
      <c r="C96" s="283"/>
      <c r="D96" s="284"/>
      <c r="E96" s="283"/>
      <c r="F96" s="284"/>
      <c r="G96" s="77">
        <v>4</v>
      </c>
      <c r="H96" s="72" t="s">
        <v>394</v>
      </c>
      <c r="I96" s="284"/>
      <c r="J96" s="79"/>
      <c r="K96" s="79"/>
      <c r="L96" s="79"/>
      <c r="M96" s="79"/>
      <c r="N96" s="79"/>
      <c r="O96" s="47">
        <v>1</v>
      </c>
      <c r="P96" s="278"/>
      <c r="Q96" s="39">
        <v>0</v>
      </c>
      <c r="R96" s="41">
        <f>19.94*0.1</f>
        <v>1.9940000000000002</v>
      </c>
      <c r="S96" s="41">
        <f>19.94*0.2</f>
        <v>3.9880000000000004</v>
      </c>
      <c r="T96" s="41">
        <f>19.94*0.3</f>
        <v>5.9820000000000002</v>
      </c>
      <c r="U96" s="41">
        <f>19.94*0.6</f>
        <v>11.964</v>
      </c>
      <c r="V96" s="41">
        <f>19.94*1</f>
        <v>19.940000000000001</v>
      </c>
      <c r="W96" s="277"/>
      <c r="X96" s="15">
        <f t="shared" si="94"/>
        <v>0</v>
      </c>
      <c r="Y96" s="15">
        <f t="shared" si="95"/>
        <v>0</v>
      </c>
      <c r="Z96" s="15">
        <f t="shared" si="96"/>
        <v>0</v>
      </c>
      <c r="AA96" s="15">
        <f t="shared" si="97"/>
        <v>0</v>
      </c>
      <c r="AB96" s="15">
        <f t="shared" si="98"/>
        <v>0</v>
      </c>
      <c r="AC96" s="15">
        <f t="shared" si="78"/>
        <v>19.940000000000001</v>
      </c>
      <c r="AD96" s="39">
        <f t="shared" si="52"/>
        <v>19.940000000000001</v>
      </c>
      <c r="AE96" s="275"/>
    </row>
    <row r="97" spans="1:36" ht="47.25" customHeight="1" x14ac:dyDescent="0.25">
      <c r="A97" s="237"/>
      <c r="B97" s="282"/>
      <c r="C97" s="283"/>
      <c r="D97" s="284"/>
      <c r="E97" s="283"/>
      <c r="F97" s="284"/>
      <c r="G97" s="77">
        <v>5</v>
      </c>
      <c r="H97" s="72" t="s">
        <v>395</v>
      </c>
      <c r="I97" s="284"/>
      <c r="J97" s="79"/>
      <c r="K97" s="79"/>
      <c r="L97" s="79"/>
      <c r="M97" s="79"/>
      <c r="N97" s="79"/>
      <c r="O97" s="47">
        <v>1</v>
      </c>
      <c r="P97" s="278"/>
      <c r="Q97" s="47">
        <v>0</v>
      </c>
      <c r="R97" s="41">
        <f>7.976*0.1</f>
        <v>0.79760000000000009</v>
      </c>
      <c r="S97" s="41">
        <f>7.976*0.2</f>
        <v>1.5952000000000002</v>
      </c>
      <c r="T97" s="41">
        <f>7.976*0.3</f>
        <v>2.3927999999999998</v>
      </c>
      <c r="U97" s="41">
        <f>7.976*0.6</f>
        <v>4.7855999999999996</v>
      </c>
      <c r="V97" s="41">
        <f>7.976*1</f>
        <v>7.976</v>
      </c>
      <c r="W97" s="277"/>
      <c r="X97" s="48">
        <f t="shared" ref="X97" si="99">J97*Q97</f>
        <v>0</v>
      </c>
      <c r="Y97" s="48">
        <f t="shared" ref="Y97" si="100">K97*R97</f>
        <v>0</v>
      </c>
      <c r="Z97" s="48">
        <f t="shared" ref="Z97" si="101">L97*S97</f>
        <v>0</v>
      </c>
      <c r="AA97" s="48">
        <f t="shared" ref="AA97" si="102">M97*T97</f>
        <v>0</v>
      </c>
      <c r="AB97" s="48">
        <f t="shared" ref="AB97" si="103">N97*U97</f>
        <v>0</v>
      </c>
      <c r="AC97" s="48">
        <f t="shared" ref="AC97" si="104">O97*V97</f>
        <v>7.976</v>
      </c>
      <c r="AD97" s="39">
        <f t="shared" si="52"/>
        <v>7.976</v>
      </c>
      <c r="AE97" s="275"/>
    </row>
    <row r="98" spans="1:36" ht="60" x14ac:dyDescent="0.25">
      <c r="A98" s="237"/>
      <c r="B98" s="282"/>
      <c r="C98" s="283">
        <v>12.2</v>
      </c>
      <c r="D98" s="284" t="s">
        <v>408</v>
      </c>
      <c r="E98" s="283" t="s">
        <v>181</v>
      </c>
      <c r="F98" s="284" t="s">
        <v>486</v>
      </c>
      <c r="G98" s="77">
        <v>6</v>
      </c>
      <c r="H98" s="81" t="s">
        <v>411</v>
      </c>
      <c r="I98" s="285"/>
      <c r="J98" s="79"/>
      <c r="K98" s="79"/>
      <c r="L98" s="79"/>
      <c r="M98" s="79"/>
      <c r="N98" s="79"/>
      <c r="O98" s="47">
        <v>1</v>
      </c>
      <c r="P98" s="278"/>
      <c r="Q98" s="47">
        <v>0</v>
      </c>
      <c r="R98" s="41">
        <f>11.964*0.1</f>
        <v>1.1964000000000001</v>
      </c>
      <c r="S98" s="41">
        <f>11.964*0.2</f>
        <v>2.3928000000000003</v>
      </c>
      <c r="T98" s="41">
        <f>11.964*0.3</f>
        <v>3.5891999999999999</v>
      </c>
      <c r="U98" s="41">
        <f>11.964*0.6</f>
        <v>7.1783999999999999</v>
      </c>
      <c r="V98" s="41">
        <f>11.964*1</f>
        <v>11.964</v>
      </c>
      <c r="W98" s="277"/>
      <c r="X98" s="48">
        <f t="shared" ref="X98" si="105">J98*Q98</f>
        <v>0</v>
      </c>
      <c r="Y98" s="48">
        <f t="shared" ref="Y98" si="106">K98*R98</f>
        <v>0</v>
      </c>
      <c r="Z98" s="48">
        <f t="shared" ref="Z98" si="107">L98*S98</f>
        <v>0</v>
      </c>
      <c r="AA98" s="48">
        <f t="shared" ref="AA98" si="108">M98*T98</f>
        <v>0</v>
      </c>
      <c r="AB98" s="48">
        <f t="shared" ref="AB98" si="109">N98*U98</f>
        <v>0</v>
      </c>
      <c r="AC98" s="48">
        <f t="shared" ref="AC98" si="110">O98*V98</f>
        <v>11.964</v>
      </c>
      <c r="AD98" s="39">
        <f t="shared" si="52"/>
        <v>11.964</v>
      </c>
      <c r="AE98" s="275"/>
    </row>
    <row r="99" spans="1:36" ht="132" x14ac:dyDescent="0.25">
      <c r="A99" s="237"/>
      <c r="B99" s="282"/>
      <c r="C99" s="283"/>
      <c r="D99" s="284"/>
      <c r="E99" s="283"/>
      <c r="F99" s="284"/>
      <c r="G99" s="77">
        <v>7</v>
      </c>
      <c r="H99" s="81" t="s">
        <v>412</v>
      </c>
      <c r="I99" s="285"/>
      <c r="J99" s="79"/>
      <c r="K99" s="79"/>
      <c r="L99" s="79"/>
      <c r="M99" s="79"/>
      <c r="N99" s="79"/>
      <c r="O99" s="47">
        <v>1</v>
      </c>
      <c r="P99" s="278"/>
      <c r="Q99" s="47">
        <v>0</v>
      </c>
      <c r="R99" s="41">
        <f>8*0.1</f>
        <v>0.8</v>
      </c>
      <c r="S99" s="41">
        <f>8*0.2</f>
        <v>1.6</v>
      </c>
      <c r="T99" s="41">
        <f>8*0.3</f>
        <v>2.4</v>
      </c>
      <c r="U99" s="41">
        <f>8*0.6</f>
        <v>4.8</v>
      </c>
      <c r="V99" s="41">
        <f>8*1</f>
        <v>8</v>
      </c>
      <c r="W99" s="277"/>
      <c r="X99" s="48">
        <f t="shared" ref="X99:X100" si="111">J99*Q99</f>
        <v>0</v>
      </c>
      <c r="Y99" s="48">
        <f t="shared" ref="Y99:Y100" si="112">K99*R99</f>
        <v>0</v>
      </c>
      <c r="Z99" s="48">
        <f t="shared" ref="Z99:Z100" si="113">L99*S99</f>
        <v>0</v>
      </c>
      <c r="AA99" s="48">
        <f t="shared" ref="AA99:AA100" si="114">M99*T99</f>
        <v>0</v>
      </c>
      <c r="AB99" s="48">
        <f t="shared" ref="AB99:AB100" si="115">N99*U99</f>
        <v>0</v>
      </c>
      <c r="AC99" s="48">
        <f t="shared" ref="AC99:AC100" si="116">O99*V99</f>
        <v>8</v>
      </c>
      <c r="AD99" s="39">
        <f>X99+Y99+Z99+AA99+AB99+AC99</f>
        <v>8</v>
      </c>
      <c r="AE99" s="275"/>
    </row>
    <row r="100" spans="1:36" ht="183" customHeight="1" x14ac:dyDescent="0.25">
      <c r="A100" s="237"/>
      <c r="B100" s="282"/>
      <c r="C100" s="283"/>
      <c r="D100" s="284"/>
      <c r="E100" s="283"/>
      <c r="F100" s="284"/>
      <c r="G100" s="77">
        <v>8</v>
      </c>
      <c r="H100" s="81" t="s">
        <v>413</v>
      </c>
      <c r="I100" s="285"/>
      <c r="J100" s="79"/>
      <c r="K100" s="80"/>
      <c r="L100" s="79"/>
      <c r="M100" s="79"/>
      <c r="N100" s="79"/>
      <c r="O100" s="47">
        <v>1</v>
      </c>
      <c r="P100" s="278"/>
      <c r="Q100" s="47">
        <v>0</v>
      </c>
      <c r="R100" s="41">
        <f>31.91*0.1</f>
        <v>3.1910000000000003</v>
      </c>
      <c r="S100" s="41">
        <f>31.91*0.2</f>
        <v>6.3820000000000006</v>
      </c>
      <c r="T100" s="41">
        <f>31.91*0.3</f>
        <v>9.5730000000000004</v>
      </c>
      <c r="U100" s="41">
        <f>31.91*0.6</f>
        <v>19.146000000000001</v>
      </c>
      <c r="V100" s="41">
        <f>31.91*1</f>
        <v>31.91</v>
      </c>
      <c r="W100" s="277"/>
      <c r="X100" s="48">
        <f t="shared" si="111"/>
        <v>0</v>
      </c>
      <c r="Y100" s="48">
        <f t="shared" si="112"/>
        <v>0</v>
      </c>
      <c r="Z100" s="48">
        <f t="shared" si="113"/>
        <v>0</v>
      </c>
      <c r="AA100" s="48">
        <f t="shared" si="114"/>
        <v>0</v>
      </c>
      <c r="AB100" s="48">
        <f t="shared" si="115"/>
        <v>0</v>
      </c>
      <c r="AC100" s="48">
        <f t="shared" si="116"/>
        <v>31.91</v>
      </c>
      <c r="AD100" s="39">
        <f>X100+Y100+Z100+AA100+AB100+AC100</f>
        <v>31.91</v>
      </c>
      <c r="AE100" s="275"/>
      <c r="AF100" s="37"/>
      <c r="AG100" s="37"/>
      <c r="AH100" s="37"/>
      <c r="AI100" s="38"/>
    </row>
    <row r="101" spans="1:36" ht="152.25" customHeight="1" x14ac:dyDescent="0.25">
      <c r="A101" s="237"/>
      <c r="B101" s="282"/>
      <c r="C101" s="283"/>
      <c r="D101" s="284"/>
      <c r="E101" s="283"/>
      <c r="F101" s="284"/>
      <c r="G101" s="77">
        <v>9</v>
      </c>
      <c r="H101" s="81" t="s">
        <v>414</v>
      </c>
      <c r="I101" s="285"/>
      <c r="J101" s="79"/>
      <c r="K101" s="79"/>
      <c r="L101" s="79"/>
      <c r="M101" s="79"/>
      <c r="N101" s="79"/>
      <c r="O101" s="47">
        <v>1</v>
      </c>
      <c r="P101" s="278"/>
      <c r="Q101" s="47">
        <v>0</v>
      </c>
      <c r="R101" s="41">
        <f>19.94*0.1</f>
        <v>1.9940000000000002</v>
      </c>
      <c r="S101" s="41">
        <f>19.94*0.2</f>
        <v>3.9880000000000004</v>
      </c>
      <c r="T101" s="41">
        <f>19.94*0.3</f>
        <v>5.9820000000000002</v>
      </c>
      <c r="U101" s="41">
        <f>19.94*0.6</f>
        <v>11.964</v>
      </c>
      <c r="V101" s="41">
        <f>19.94*1</f>
        <v>19.940000000000001</v>
      </c>
      <c r="W101" s="277"/>
      <c r="X101" s="48">
        <f t="shared" ref="X101" si="117">J101*Q101</f>
        <v>0</v>
      </c>
      <c r="Y101" s="48">
        <f t="shared" ref="Y101" si="118">K101*R101</f>
        <v>0</v>
      </c>
      <c r="Z101" s="48">
        <f t="shared" ref="Z101" si="119">L101*S101</f>
        <v>0</v>
      </c>
      <c r="AA101" s="48">
        <f t="shared" ref="AA101" si="120">M101*T101</f>
        <v>0</v>
      </c>
      <c r="AB101" s="48">
        <f t="shared" ref="AB101" si="121">N101*U101</f>
        <v>0</v>
      </c>
      <c r="AC101" s="48">
        <f t="shared" ref="AC101" si="122">O101*V101</f>
        <v>19.940000000000001</v>
      </c>
      <c r="AD101" s="39">
        <f>X101+Y101+Z101+AA101+AB101+AC101</f>
        <v>19.940000000000001</v>
      </c>
      <c r="AE101" s="275"/>
      <c r="AF101" s="37"/>
      <c r="AG101" s="37"/>
      <c r="AH101" s="37"/>
      <c r="AI101" s="38"/>
    </row>
    <row r="102" spans="1:36" ht="36" x14ac:dyDescent="0.25">
      <c r="A102" s="237"/>
      <c r="B102" s="282"/>
      <c r="C102" s="283"/>
      <c r="D102" s="284"/>
      <c r="E102" s="283"/>
      <c r="F102" s="284"/>
      <c r="G102" s="77">
        <v>10</v>
      </c>
      <c r="H102" s="81" t="s">
        <v>415</v>
      </c>
      <c r="I102" s="285"/>
      <c r="J102" s="72"/>
      <c r="K102" s="72"/>
      <c r="L102" s="72"/>
      <c r="M102" s="72"/>
      <c r="N102" s="72"/>
      <c r="O102" s="47">
        <v>1</v>
      </c>
      <c r="P102" s="278"/>
      <c r="Q102" s="47">
        <v>0</v>
      </c>
      <c r="R102" s="41">
        <f>8*0.1</f>
        <v>0.8</v>
      </c>
      <c r="S102" s="41">
        <f>8*0.2</f>
        <v>1.6</v>
      </c>
      <c r="T102" s="41">
        <f>8*0.3</f>
        <v>2.4</v>
      </c>
      <c r="U102" s="41">
        <f>8*0.6</f>
        <v>4.8</v>
      </c>
      <c r="V102" s="41">
        <f>8*1</f>
        <v>8</v>
      </c>
      <c r="W102" s="277"/>
      <c r="X102" s="47">
        <f t="shared" ref="X102" si="123">J102*Q102</f>
        <v>0</v>
      </c>
      <c r="Y102" s="47">
        <f t="shared" ref="Y102" si="124">K102*R102</f>
        <v>0</v>
      </c>
      <c r="Z102" s="47">
        <f t="shared" ref="Z102" si="125">L102*S102</f>
        <v>0</v>
      </c>
      <c r="AA102" s="47">
        <f t="shared" ref="AA102" si="126">M102*T102</f>
        <v>0</v>
      </c>
      <c r="AB102" s="47">
        <f t="shared" ref="AB102" si="127">N102*U102</f>
        <v>0</v>
      </c>
      <c r="AC102" s="47">
        <f t="shared" ref="AC102" si="128">O102*V102</f>
        <v>8</v>
      </c>
      <c r="AD102" s="39">
        <f>X102+Y102+Z102+AA102+AB102+AC102</f>
        <v>8</v>
      </c>
      <c r="AE102" s="275"/>
      <c r="AF102" s="37"/>
      <c r="AG102" s="37"/>
      <c r="AH102" s="37"/>
      <c r="AI102" s="38"/>
    </row>
    <row r="103" spans="1:36" ht="22.5" x14ac:dyDescent="0.25">
      <c r="A103" s="237"/>
      <c r="B103" s="282"/>
      <c r="C103" s="283">
        <v>12.3</v>
      </c>
      <c r="D103" s="281" t="s">
        <v>409</v>
      </c>
      <c r="E103" s="280" t="s">
        <v>399</v>
      </c>
      <c r="F103" s="279" t="s">
        <v>400</v>
      </c>
      <c r="G103" s="77">
        <v>11</v>
      </c>
      <c r="H103" s="78" t="s">
        <v>401</v>
      </c>
      <c r="I103" s="285"/>
      <c r="J103" s="72"/>
      <c r="K103" s="72"/>
      <c r="L103" s="72"/>
      <c r="M103" s="72"/>
      <c r="N103" s="72"/>
      <c r="O103" s="47">
        <v>1</v>
      </c>
      <c r="P103" s="278"/>
      <c r="Q103" s="47">
        <v>0</v>
      </c>
      <c r="R103" s="41">
        <f>8*0.1</f>
        <v>0.8</v>
      </c>
      <c r="S103" s="41">
        <f>8*0.2</f>
        <v>1.6</v>
      </c>
      <c r="T103" s="41">
        <f>8*0.3</f>
        <v>2.4</v>
      </c>
      <c r="U103" s="41">
        <f>8*0.6</f>
        <v>4.8</v>
      </c>
      <c r="V103" s="41">
        <f>8*1</f>
        <v>8</v>
      </c>
      <c r="W103" s="277"/>
      <c r="X103" s="47">
        <f t="shared" ref="X103" si="129">J103*Q103</f>
        <v>0</v>
      </c>
      <c r="Y103" s="47">
        <f t="shared" ref="Y103" si="130">K103*R103</f>
        <v>0</v>
      </c>
      <c r="Z103" s="47">
        <f t="shared" ref="Z103" si="131">L103*S103</f>
        <v>0</v>
      </c>
      <c r="AA103" s="47">
        <f t="shared" ref="AA103" si="132">M103*T103</f>
        <v>0</v>
      </c>
      <c r="AB103" s="47">
        <f t="shared" ref="AB103" si="133">N103*U103</f>
        <v>0</v>
      </c>
      <c r="AC103" s="47">
        <f t="shared" ref="AC103" si="134">O103*V103</f>
        <v>8</v>
      </c>
      <c r="AD103" s="39">
        <f t="shared" ref="AD103" si="135">X103+Y103+Z103+AA103+AB103+AC103</f>
        <v>8</v>
      </c>
      <c r="AE103" s="275"/>
      <c r="AF103" s="37"/>
      <c r="AG103" s="37"/>
      <c r="AH103" s="37"/>
      <c r="AI103" s="38"/>
    </row>
    <row r="104" spans="1:36" ht="56.25" x14ac:dyDescent="0.25">
      <c r="A104" s="237"/>
      <c r="B104" s="282"/>
      <c r="C104" s="283"/>
      <c r="D104" s="281"/>
      <c r="E104" s="280"/>
      <c r="F104" s="279"/>
      <c r="G104" s="77">
        <v>12</v>
      </c>
      <c r="H104" s="78" t="s">
        <v>402</v>
      </c>
      <c r="I104" s="285"/>
      <c r="J104" s="72"/>
      <c r="K104" s="72"/>
      <c r="L104" s="72"/>
      <c r="M104" s="72"/>
      <c r="N104" s="72"/>
      <c r="O104" s="47">
        <v>1</v>
      </c>
      <c r="P104" s="278"/>
      <c r="Q104" s="47">
        <v>0</v>
      </c>
      <c r="R104" s="41">
        <f>8*0.1</f>
        <v>0.8</v>
      </c>
      <c r="S104" s="41">
        <f>8*0.2</f>
        <v>1.6</v>
      </c>
      <c r="T104" s="41">
        <f>8*0.3</f>
        <v>2.4</v>
      </c>
      <c r="U104" s="41">
        <f>8*0.6</f>
        <v>4.8</v>
      </c>
      <c r="V104" s="41">
        <f>8*1</f>
        <v>8</v>
      </c>
      <c r="W104" s="277"/>
      <c r="X104" s="47">
        <f t="shared" ref="X104" si="136">J104*Q104</f>
        <v>0</v>
      </c>
      <c r="Y104" s="47">
        <f t="shared" ref="Y104" si="137">K104*R104</f>
        <v>0</v>
      </c>
      <c r="Z104" s="47">
        <f t="shared" ref="Z104" si="138">L104*S104</f>
        <v>0</v>
      </c>
      <c r="AA104" s="47">
        <f t="shared" ref="AA104" si="139">M104*T104</f>
        <v>0</v>
      </c>
      <c r="AB104" s="47">
        <f t="shared" ref="AB104" si="140">N104*U104</f>
        <v>0</v>
      </c>
      <c r="AC104" s="47">
        <f t="shared" ref="AC104" si="141">O104*V104</f>
        <v>8</v>
      </c>
      <c r="AD104" s="39">
        <f t="shared" ref="AD104" si="142">X104+Y104+Z104+AA104+AB104+AC104</f>
        <v>8</v>
      </c>
      <c r="AE104" s="275"/>
      <c r="AF104" s="37"/>
      <c r="AG104" s="37"/>
      <c r="AH104" s="37"/>
      <c r="AI104" s="38"/>
    </row>
    <row r="105" spans="1:36" ht="21.75" x14ac:dyDescent="0.25">
      <c r="A105" s="237"/>
      <c r="B105" s="282"/>
      <c r="C105" s="283"/>
      <c r="D105" s="281"/>
      <c r="E105" s="280"/>
      <c r="F105" s="279"/>
      <c r="G105" s="77">
        <v>13</v>
      </c>
      <c r="H105" s="78" t="s">
        <v>403</v>
      </c>
      <c r="I105" s="285"/>
      <c r="J105" s="72"/>
      <c r="K105" s="72"/>
      <c r="L105" s="72"/>
      <c r="M105" s="72"/>
      <c r="N105" s="72"/>
      <c r="O105" s="47">
        <v>1</v>
      </c>
      <c r="P105" s="278"/>
      <c r="Q105" s="47">
        <v>0</v>
      </c>
      <c r="R105" s="41">
        <f>8*0.1</f>
        <v>0.8</v>
      </c>
      <c r="S105" s="41">
        <f>8*0.2</f>
        <v>1.6</v>
      </c>
      <c r="T105" s="41">
        <f>8*0.3</f>
        <v>2.4</v>
      </c>
      <c r="U105" s="41">
        <f>8*0.6</f>
        <v>4.8</v>
      </c>
      <c r="V105" s="41">
        <f>8*1</f>
        <v>8</v>
      </c>
      <c r="W105" s="277"/>
      <c r="X105" s="47">
        <f t="shared" ref="X105" si="143">J105*Q105</f>
        <v>0</v>
      </c>
      <c r="Y105" s="47">
        <f t="shared" ref="Y105" si="144">K105*R105</f>
        <v>0</v>
      </c>
      <c r="Z105" s="47">
        <f t="shared" ref="Z105" si="145">L105*S105</f>
        <v>0</v>
      </c>
      <c r="AA105" s="47">
        <f t="shared" ref="AA105" si="146">M105*T105</f>
        <v>0</v>
      </c>
      <c r="AB105" s="47">
        <f t="shared" ref="AB105" si="147">N105*U105</f>
        <v>0</v>
      </c>
      <c r="AC105" s="47">
        <f t="shared" ref="AC105" si="148">O105*V105</f>
        <v>8</v>
      </c>
      <c r="AD105" s="39">
        <f t="shared" ref="AD105" si="149">X105+Y105+Z105+AA105+AB105+AC105</f>
        <v>8</v>
      </c>
      <c r="AE105" s="275"/>
      <c r="AF105" s="37"/>
      <c r="AG105" s="37"/>
      <c r="AH105" s="37"/>
      <c r="AI105" s="38"/>
    </row>
    <row r="106" spans="1:36" ht="22.5" x14ac:dyDescent="0.25">
      <c r="A106" s="237"/>
      <c r="B106" s="282"/>
      <c r="C106" s="283"/>
      <c r="D106" s="281"/>
      <c r="E106" s="280"/>
      <c r="F106" s="279"/>
      <c r="G106" s="77">
        <v>14</v>
      </c>
      <c r="H106" s="78" t="s">
        <v>404</v>
      </c>
      <c r="I106" s="285"/>
      <c r="J106" s="72"/>
      <c r="K106" s="72"/>
      <c r="L106" s="72"/>
      <c r="M106" s="72"/>
      <c r="N106" s="72"/>
      <c r="O106" s="47">
        <v>1</v>
      </c>
      <c r="P106" s="278"/>
      <c r="Q106" s="47">
        <v>0</v>
      </c>
      <c r="R106" s="41">
        <f>8*0.1</f>
        <v>0.8</v>
      </c>
      <c r="S106" s="41">
        <f>8*0.2</f>
        <v>1.6</v>
      </c>
      <c r="T106" s="41">
        <f>8*0.3</f>
        <v>2.4</v>
      </c>
      <c r="U106" s="41">
        <f>8*0.6</f>
        <v>4.8</v>
      </c>
      <c r="V106" s="41">
        <f>8*1</f>
        <v>8</v>
      </c>
      <c r="W106" s="277"/>
      <c r="X106" s="47">
        <f t="shared" ref="X106" si="150">J106*Q106</f>
        <v>0</v>
      </c>
      <c r="Y106" s="47">
        <f t="shared" ref="Y106" si="151">K106*R106</f>
        <v>0</v>
      </c>
      <c r="Z106" s="47">
        <f t="shared" ref="Z106" si="152">L106*S106</f>
        <v>0</v>
      </c>
      <c r="AA106" s="47">
        <f t="shared" ref="AA106" si="153">M106*T106</f>
        <v>0</v>
      </c>
      <c r="AB106" s="47">
        <f t="shared" ref="AB106" si="154">N106*U106</f>
        <v>0</v>
      </c>
      <c r="AC106" s="47">
        <f t="shared" ref="AC106" si="155">O106*V106</f>
        <v>8</v>
      </c>
      <c r="AD106" s="39">
        <f t="shared" ref="AD106" si="156">X106+Y106+Z106+AA106+AB106+AC106</f>
        <v>8</v>
      </c>
      <c r="AE106" s="275"/>
      <c r="AF106" s="37"/>
      <c r="AG106" s="37"/>
      <c r="AH106" s="37"/>
      <c r="AI106" s="38"/>
    </row>
    <row r="107" spans="1:36" ht="22.5" x14ac:dyDescent="0.25">
      <c r="A107" s="237"/>
      <c r="B107" s="282"/>
      <c r="C107" s="283"/>
      <c r="D107" s="281"/>
      <c r="E107" s="280"/>
      <c r="F107" s="279"/>
      <c r="G107" s="77">
        <v>15</v>
      </c>
      <c r="H107" s="78" t="s">
        <v>405</v>
      </c>
      <c r="I107" s="285"/>
      <c r="J107" s="72"/>
      <c r="K107" s="72"/>
      <c r="L107" s="72"/>
      <c r="M107" s="72"/>
      <c r="N107" s="72"/>
      <c r="O107" s="47">
        <v>1</v>
      </c>
      <c r="P107" s="278"/>
      <c r="Q107" s="47">
        <v>0</v>
      </c>
      <c r="R107" s="41">
        <f>805*0.1</f>
        <v>80.5</v>
      </c>
      <c r="S107" s="41">
        <f>8*0.2</f>
        <v>1.6</v>
      </c>
      <c r="T107" s="41">
        <f>8*0.3</f>
        <v>2.4</v>
      </c>
      <c r="U107" s="41">
        <f>8*0.6</f>
        <v>4.8</v>
      </c>
      <c r="V107" s="41">
        <f>8.1*1</f>
        <v>8.1</v>
      </c>
      <c r="W107" s="277"/>
      <c r="X107" s="47">
        <f t="shared" ref="X107" si="157">J107*Q107</f>
        <v>0</v>
      </c>
      <c r="Y107" s="47">
        <f t="shared" ref="Y107" si="158">K107*R107</f>
        <v>0</v>
      </c>
      <c r="Z107" s="47">
        <f t="shared" ref="Z107" si="159">L107*S107</f>
        <v>0</v>
      </c>
      <c r="AA107" s="47">
        <f t="shared" ref="AA107" si="160">M107*T107</f>
        <v>0</v>
      </c>
      <c r="AB107" s="47">
        <f t="shared" ref="AB107" si="161">N107*U107</f>
        <v>0</v>
      </c>
      <c r="AC107" s="47">
        <f t="shared" ref="AC107" si="162">O107*V107</f>
        <v>8.1</v>
      </c>
      <c r="AD107" s="39">
        <f t="shared" ref="AD107" si="163">X107+Y107+Z107+AA107+AB107+AC107</f>
        <v>8.1</v>
      </c>
      <c r="AE107" s="275"/>
      <c r="AF107" s="37"/>
      <c r="AG107" s="37"/>
      <c r="AH107" s="37"/>
      <c r="AI107" s="38"/>
    </row>
    <row r="108" spans="1:36" ht="135" x14ac:dyDescent="0.25">
      <c r="A108" s="237"/>
      <c r="B108" s="282"/>
      <c r="C108" s="283"/>
      <c r="D108" s="281"/>
      <c r="E108" s="280"/>
      <c r="F108" s="279"/>
      <c r="G108" s="77">
        <v>16</v>
      </c>
      <c r="H108" s="78" t="s">
        <v>406</v>
      </c>
      <c r="I108" s="285"/>
      <c r="J108" s="72"/>
      <c r="K108" s="72"/>
      <c r="L108" s="72"/>
      <c r="M108" s="72"/>
      <c r="N108" s="72"/>
      <c r="O108" s="47">
        <v>1</v>
      </c>
      <c r="P108" s="278"/>
      <c r="Q108" s="47">
        <v>0</v>
      </c>
      <c r="R108" s="59">
        <f>39.88*0.1</f>
        <v>3.9880000000000004</v>
      </c>
      <c r="S108" s="59">
        <f>39.88*0.2</f>
        <v>7.9760000000000009</v>
      </c>
      <c r="T108" s="59">
        <f>39.88*0.3</f>
        <v>11.964</v>
      </c>
      <c r="U108" s="59">
        <f>39.88*0.6</f>
        <v>23.928000000000001</v>
      </c>
      <c r="V108" s="59">
        <f>39.88*1</f>
        <v>39.880000000000003</v>
      </c>
      <c r="W108" s="277"/>
      <c r="X108" s="47">
        <f t="shared" ref="X108" si="164">J108*Q108</f>
        <v>0</v>
      </c>
      <c r="Y108" s="47">
        <f t="shared" ref="Y108" si="165">K108*R108</f>
        <v>0</v>
      </c>
      <c r="Z108" s="47">
        <f t="shared" ref="Z108" si="166">L108*S108</f>
        <v>0</v>
      </c>
      <c r="AA108" s="47">
        <f t="shared" ref="AA108" si="167">M108*T108</f>
        <v>0</v>
      </c>
      <c r="AB108" s="47">
        <f t="shared" ref="AB108" si="168">N108*U108</f>
        <v>0</v>
      </c>
      <c r="AC108" s="47">
        <f t="shared" ref="AC108" si="169">O108*V108</f>
        <v>39.880000000000003</v>
      </c>
      <c r="AD108" s="39">
        <f t="shared" ref="AD108" si="170">X108+Y108+Z108+AA108+AB108+AC108</f>
        <v>39.880000000000003</v>
      </c>
      <c r="AE108" s="275"/>
      <c r="AF108" s="37"/>
      <c r="AG108" s="37"/>
      <c r="AH108" s="37"/>
      <c r="AI108" s="37"/>
      <c r="AJ108" s="37"/>
    </row>
    <row r="109" spans="1:36" ht="24.75" x14ac:dyDescent="0.25">
      <c r="A109" s="319" t="s">
        <v>558</v>
      </c>
      <c r="B109" s="319"/>
      <c r="C109" s="319"/>
      <c r="D109" s="319"/>
      <c r="E109" s="319"/>
      <c r="F109" s="319"/>
      <c r="G109" s="319"/>
      <c r="H109" s="319"/>
      <c r="I109" s="319"/>
      <c r="J109" s="319"/>
      <c r="K109" s="319"/>
      <c r="L109" s="319"/>
      <c r="M109" s="319"/>
      <c r="N109" s="319"/>
      <c r="O109" s="319"/>
      <c r="P109" s="319"/>
      <c r="Q109" s="319"/>
      <c r="R109" s="319"/>
      <c r="S109" s="319"/>
      <c r="T109" s="319"/>
      <c r="U109" s="319"/>
      <c r="V109" s="319"/>
      <c r="W109" s="319"/>
      <c r="X109" s="319"/>
      <c r="Y109" s="319"/>
      <c r="Z109" s="319"/>
      <c r="AA109" s="319"/>
      <c r="AB109" s="319"/>
      <c r="AC109" s="319"/>
      <c r="AD109" s="319"/>
      <c r="AE109" s="320">
        <f>SUM(AE5:AE108)</f>
        <v>2000.0039999999999</v>
      </c>
    </row>
    <row r="110" spans="1:36" x14ac:dyDescent="0.25">
      <c r="Q110" s="37"/>
      <c r="R110" s="37"/>
      <c r="S110" s="37"/>
      <c r="T110" s="37"/>
      <c r="U110" s="37"/>
      <c r="V110" s="37"/>
      <c r="W110" s="37"/>
      <c r="X110" s="37"/>
      <c r="Y110" s="37"/>
      <c r="Z110" s="37"/>
      <c r="AA110" s="37"/>
      <c r="AB110" s="37"/>
      <c r="AC110" s="37"/>
      <c r="AD110" s="37"/>
    </row>
    <row r="111" spans="1:36" x14ac:dyDescent="0.25">
      <c r="T111" s="37"/>
      <c r="U111" s="37"/>
      <c r="V111" s="37"/>
      <c r="W111" s="37"/>
      <c r="X111" s="37"/>
      <c r="Y111" s="37"/>
      <c r="Z111" s="37"/>
      <c r="AA111" s="37"/>
    </row>
  </sheetData>
  <mergeCells count="158">
    <mergeCell ref="A109:AD109"/>
    <mergeCell ref="AE93:AE108"/>
    <mergeCell ref="W94:W108"/>
    <mergeCell ref="P3:P108"/>
    <mergeCell ref="A93:A108"/>
    <mergeCell ref="F103:F108"/>
    <mergeCell ref="E103:E108"/>
    <mergeCell ref="D103:D108"/>
    <mergeCell ref="B93:B108"/>
    <mergeCell ref="C103:C108"/>
    <mergeCell ref="C98:C102"/>
    <mergeCell ref="D98:D102"/>
    <mergeCell ref="E98:E102"/>
    <mergeCell ref="F98:F102"/>
    <mergeCell ref="C93:C97"/>
    <mergeCell ref="E93:E97"/>
    <mergeCell ref="F93:F97"/>
    <mergeCell ref="I93:I108"/>
    <mergeCell ref="AE86:AE88"/>
    <mergeCell ref="AE75:AE85"/>
    <mergeCell ref="F86:F87"/>
    <mergeCell ref="D93:D97"/>
    <mergeCell ref="E89:E90"/>
    <mergeCell ref="E81:E85"/>
    <mergeCell ref="F89:F90"/>
    <mergeCell ref="I89:I92"/>
    <mergeCell ref="AE5:AE22"/>
    <mergeCell ref="I5:I12"/>
    <mergeCell ref="E54:E56"/>
    <mergeCell ref="E58:E59"/>
    <mergeCell ref="F23:F25"/>
    <mergeCell ref="F39:F40"/>
    <mergeCell ref="F30:F32"/>
    <mergeCell ref="F33:F34"/>
    <mergeCell ref="I29:I34"/>
    <mergeCell ref="I35:I38"/>
    <mergeCell ref="I39:I40"/>
    <mergeCell ref="I41:I43"/>
    <mergeCell ref="F54:F56"/>
    <mergeCell ref="F58:F59"/>
    <mergeCell ref="AE65:AE70"/>
    <mergeCell ref="AE71:AE74"/>
    <mergeCell ref="F81:F85"/>
    <mergeCell ref="I23:I28"/>
    <mergeCell ref="AE89:AE92"/>
    <mergeCell ref="F65:F66"/>
    <mergeCell ref="AE23:AE28"/>
    <mergeCell ref="AE29:AE43"/>
    <mergeCell ref="E75:E80"/>
    <mergeCell ref="AE53:AE64"/>
    <mergeCell ref="AE45:AE52"/>
    <mergeCell ref="E86:E87"/>
    <mergeCell ref="F75:F80"/>
    <mergeCell ref="E33:E34"/>
    <mergeCell ref="E30:E32"/>
    <mergeCell ref="C81:C85"/>
    <mergeCell ref="C49:C51"/>
    <mergeCell ref="C72:C74"/>
    <mergeCell ref="I75:I85"/>
    <mergeCell ref="I86:I88"/>
    <mergeCell ref="D23:D25"/>
    <mergeCell ref="I13:I19"/>
    <mergeCell ref="E39:E40"/>
    <mergeCell ref="D39:D40"/>
    <mergeCell ref="D41:D43"/>
    <mergeCell ref="D30:D34"/>
    <mergeCell ref="I20:I22"/>
    <mergeCell ref="E17:E18"/>
    <mergeCell ref="E73:E74"/>
    <mergeCell ref="E65:E66"/>
    <mergeCell ref="I65:I70"/>
    <mergeCell ref="I71:I74"/>
    <mergeCell ref="D45:D48"/>
    <mergeCell ref="D49:D51"/>
    <mergeCell ref="D72:D74"/>
    <mergeCell ref="I45:I52"/>
    <mergeCell ref="I53:I64"/>
    <mergeCell ref="F36:F38"/>
    <mergeCell ref="F73:F74"/>
    <mergeCell ref="J3:O3"/>
    <mergeCell ref="A1:AE1"/>
    <mergeCell ref="A2:D2"/>
    <mergeCell ref="AD3:AD4"/>
    <mergeCell ref="AE3:AE4"/>
    <mergeCell ref="A3:A4"/>
    <mergeCell ref="B3:B4"/>
    <mergeCell ref="W3:W4"/>
    <mergeCell ref="X3:AC4"/>
    <mergeCell ref="Q3:V3"/>
    <mergeCell ref="C3:D4"/>
    <mergeCell ref="E3:F4"/>
    <mergeCell ref="I3:I4"/>
    <mergeCell ref="G3:H4"/>
    <mergeCell ref="P2:AE2"/>
    <mergeCell ref="E2:O2"/>
    <mergeCell ref="B71:B74"/>
    <mergeCell ref="A71:A74"/>
    <mergeCell ref="B89:B92"/>
    <mergeCell ref="A89:A92"/>
    <mergeCell ref="D86:D87"/>
    <mergeCell ref="A86:A88"/>
    <mergeCell ref="D89:D91"/>
    <mergeCell ref="C89:C91"/>
    <mergeCell ref="B86:B88"/>
    <mergeCell ref="C86:C87"/>
    <mergeCell ref="D81:D85"/>
    <mergeCell ref="B75:B85"/>
    <mergeCell ref="A75:A85"/>
    <mergeCell ref="D75:D80"/>
    <mergeCell ref="C75:C80"/>
    <mergeCell ref="A5:A22"/>
    <mergeCell ref="A23:A28"/>
    <mergeCell ref="C65:C67"/>
    <mergeCell ref="B5:B22"/>
    <mergeCell ref="D69:D70"/>
    <mergeCell ref="D61:D63"/>
    <mergeCell ref="B53:B64"/>
    <mergeCell ref="D65:D67"/>
    <mergeCell ref="C45:C48"/>
    <mergeCell ref="D7:D12"/>
    <mergeCell ref="C7:C12"/>
    <mergeCell ref="A53:A64"/>
    <mergeCell ref="B65:B70"/>
    <mergeCell ref="A65:A70"/>
    <mergeCell ref="C69:C70"/>
    <mergeCell ref="C53:C59"/>
    <mergeCell ref="C61:C63"/>
    <mergeCell ref="D53:D59"/>
    <mergeCell ref="A29:A43"/>
    <mergeCell ref="D35:D38"/>
    <mergeCell ref="B45:B52"/>
    <mergeCell ref="A45:A52"/>
    <mergeCell ref="C23:C25"/>
    <mergeCell ref="D20:D22"/>
    <mergeCell ref="E7:E8"/>
    <mergeCell ref="F9:F12"/>
    <mergeCell ref="E9:E12"/>
    <mergeCell ref="F7:F8"/>
    <mergeCell ref="E36:E38"/>
    <mergeCell ref="B23:B28"/>
    <mergeCell ref="F41:F43"/>
    <mergeCell ref="E41:E43"/>
    <mergeCell ref="E13:E15"/>
    <mergeCell ref="C16:C19"/>
    <mergeCell ref="C20:C22"/>
    <mergeCell ref="B29:B43"/>
    <mergeCell ref="E20:E22"/>
    <mergeCell ref="F20:F22"/>
    <mergeCell ref="C30:C34"/>
    <mergeCell ref="C35:C38"/>
    <mergeCell ref="C39:C40"/>
    <mergeCell ref="C41:C43"/>
    <mergeCell ref="F13:F15"/>
    <mergeCell ref="F17:F18"/>
    <mergeCell ref="D13:D15"/>
    <mergeCell ref="D16:D19"/>
    <mergeCell ref="C13:C15"/>
    <mergeCell ref="E23:E25"/>
  </mergeCells>
  <conditionalFormatting sqref="K5:N68 K69:M69 K70:N99 O6:O108">
    <cfRule type="cellIs" dxfId="1" priority="24" operator="equal">
      <formula>$V$5</formula>
    </cfRule>
  </conditionalFormatting>
  <conditionalFormatting sqref="O5">
    <cfRule type="cellIs" dxfId="0" priority="7" operator="equal">
      <formula>$V$5</formula>
    </cfRule>
  </conditionalFormatting>
  <conditionalFormatting sqref="O5">
    <cfRule type="colorScale" priority="448">
      <colorScale>
        <cfvo type="min"/>
        <cfvo type="percentile" val="50"/>
        <cfvo type="max"/>
        <color rgb="FFF8696B"/>
        <color rgb="FFFCFCFF"/>
        <color rgb="FF63BE7B"/>
      </colorScale>
    </cfRule>
  </conditionalFormatting>
  <conditionalFormatting sqref="K5:K99">
    <cfRule type="colorScale" priority="453">
      <colorScale>
        <cfvo type="min"/>
        <cfvo type="percentile" val="50"/>
        <cfvo type="max"/>
        <color rgb="FFF8696B"/>
        <color rgb="FFFCFCFF"/>
        <color rgb="FF63BE7B"/>
      </colorScale>
    </cfRule>
  </conditionalFormatting>
  <conditionalFormatting sqref="L5:L99">
    <cfRule type="colorScale" priority="464">
      <colorScale>
        <cfvo type="min"/>
        <cfvo type="percentile" val="50"/>
        <cfvo type="max"/>
        <color rgb="FFF8696B"/>
        <color rgb="FFFCFCFF"/>
        <color rgb="FF63BE7B"/>
      </colorScale>
    </cfRule>
  </conditionalFormatting>
  <conditionalFormatting sqref="M5:M99">
    <cfRule type="colorScale" priority="475">
      <colorScale>
        <cfvo type="min"/>
        <cfvo type="percentile" val="50"/>
        <cfvo type="max"/>
        <color rgb="FFF8696B"/>
        <color rgb="FFFCFCFF"/>
        <color rgb="FF63BE7B"/>
      </colorScale>
    </cfRule>
  </conditionalFormatting>
  <conditionalFormatting sqref="J5:J100">
    <cfRule type="colorScale" priority="486">
      <colorScale>
        <cfvo type="min"/>
        <cfvo type="percentile" val="50"/>
        <cfvo type="max"/>
        <color rgb="FFF8696B"/>
        <color rgb="FFFCFCFF"/>
        <color rgb="FF63BE7B"/>
      </colorScale>
    </cfRule>
  </conditionalFormatting>
  <conditionalFormatting sqref="N70:N99 N5:N68">
    <cfRule type="colorScale" priority="497">
      <colorScale>
        <cfvo type="min"/>
        <cfvo type="percentile" val="50"/>
        <cfvo type="max"/>
        <color rgb="FFF8696B"/>
        <color rgb="FFFCFCFF"/>
        <color rgb="FF63BE7B"/>
      </colorScale>
    </cfRule>
  </conditionalFormatting>
  <conditionalFormatting sqref="O6:O108">
    <cfRule type="colorScale" priority="505">
      <colorScale>
        <cfvo type="min"/>
        <cfvo type="percentile" val="50"/>
        <cfvo type="max"/>
        <color rgb="FFF8696B"/>
        <color rgb="FFFCFCFF"/>
        <color rgb="FF63BE7B"/>
      </colorScale>
    </cfRule>
  </conditionalFormatting>
  <pageMargins left="0.7" right="0.7" top="0.75" bottom="0.75" header="0.3" footer="0.3"/>
  <pageSetup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A9" sqref="A9"/>
    </sheetView>
  </sheetViews>
  <sheetFormatPr baseColWidth="10" defaultRowHeight="15.75" x14ac:dyDescent="0.25"/>
  <cols>
    <col min="1" max="1" width="56.42578125" style="12" customWidth="1"/>
    <col min="2" max="2" width="57.5703125" style="9" customWidth="1"/>
    <col min="3" max="3" width="12.85546875" style="1" bestFit="1" customWidth="1"/>
    <col min="4" max="6" width="11.42578125" style="1"/>
  </cols>
  <sheetData>
    <row r="1" spans="1:6" ht="94.5" customHeight="1" x14ac:dyDescent="0.25">
      <c r="A1" s="291" t="s">
        <v>215</v>
      </c>
      <c r="B1" s="291"/>
    </row>
    <row r="2" spans="1:6" s="4" customFormat="1" ht="27.75" customHeight="1" x14ac:dyDescent="0.25">
      <c r="A2" s="289" t="s">
        <v>14</v>
      </c>
      <c r="B2" s="289"/>
      <c r="C2" s="2"/>
      <c r="D2" s="2"/>
      <c r="E2" s="2"/>
      <c r="F2" s="2"/>
    </row>
    <row r="3" spans="1:6" s="4" customFormat="1" ht="16.5" customHeight="1" x14ac:dyDescent="0.25">
      <c r="A3" s="290" t="s">
        <v>216</v>
      </c>
      <c r="B3" s="290"/>
      <c r="C3" s="2"/>
      <c r="D3" s="2"/>
      <c r="E3" s="2"/>
      <c r="F3" s="2"/>
    </row>
    <row r="4" spans="1:6" s="5" customFormat="1" ht="34.5" customHeight="1" x14ac:dyDescent="0.2">
      <c r="A4" s="321">
        <f>SUM(Evaluacion!AD5:AD108)</f>
        <v>2000.0039999999997</v>
      </c>
      <c r="B4" s="27">
        <f>Referentes!C69</f>
        <v>0</v>
      </c>
      <c r="C4" s="3"/>
      <c r="D4" s="3"/>
      <c r="E4" s="3"/>
      <c r="F4" s="3"/>
    </row>
    <row r="5" spans="1:6" s="5" customFormat="1" ht="34.5" customHeight="1" x14ac:dyDescent="0.2">
      <c r="A5" s="31" t="s">
        <v>217</v>
      </c>
      <c r="B5" s="32" t="s">
        <v>186</v>
      </c>
      <c r="C5" s="3"/>
      <c r="D5" s="3"/>
      <c r="E5" s="3"/>
      <c r="F5" s="3"/>
    </row>
    <row r="6" spans="1:6" s="5" customFormat="1" ht="19.5" customHeight="1" x14ac:dyDescent="0.2">
      <c r="A6" s="287" t="s">
        <v>218</v>
      </c>
      <c r="B6" s="288"/>
      <c r="C6" s="3"/>
      <c r="D6" s="3"/>
      <c r="E6" s="3"/>
      <c r="F6" s="3"/>
    </row>
    <row r="7" spans="1:6" ht="35.25" customHeight="1" x14ac:dyDescent="0.25">
      <c r="A7" s="286"/>
      <c r="B7" s="286"/>
    </row>
    <row r="8" spans="1:6" ht="15.75" customHeight="1" x14ac:dyDescent="0.25"/>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7"/>
  <sheetViews>
    <sheetView workbookViewId="0">
      <selection activeCell="B14" sqref="B14"/>
    </sheetView>
  </sheetViews>
  <sheetFormatPr baseColWidth="10" defaultRowHeight="15" x14ac:dyDescent="0.25"/>
  <cols>
    <col min="1" max="1" width="18.85546875" customWidth="1"/>
    <col min="2" max="2" width="31.42578125" customWidth="1"/>
    <col min="3" max="3" width="15.42578125" customWidth="1"/>
    <col min="4" max="4" width="16.7109375" customWidth="1"/>
    <col min="5" max="5" width="17.28515625" customWidth="1"/>
  </cols>
  <sheetData>
    <row r="2" spans="1:11" ht="30.75" x14ac:dyDescent="0.25">
      <c r="A2" s="292"/>
      <c r="B2" s="293"/>
      <c r="C2" s="293"/>
      <c r="D2" s="293"/>
      <c r="E2" s="293"/>
      <c r="F2" s="17"/>
      <c r="G2" s="17"/>
      <c r="H2" s="17"/>
      <c r="I2" s="17"/>
      <c r="J2" s="17"/>
      <c r="K2" s="17"/>
    </row>
    <row r="3" spans="1:11" ht="18.75" x14ac:dyDescent="0.25">
      <c r="A3" s="294" t="s">
        <v>451</v>
      </c>
      <c r="B3" s="294"/>
      <c r="C3" s="294"/>
      <c r="D3" s="294"/>
      <c r="E3" s="294"/>
    </row>
    <row r="4" spans="1:11" ht="15.75" thickBot="1" x14ac:dyDescent="0.3"/>
    <row r="5" spans="1:11" ht="24.75" thickBot="1" x14ac:dyDescent="0.3">
      <c r="A5" s="49" t="s">
        <v>442</v>
      </c>
      <c r="B5" s="49" t="s">
        <v>443</v>
      </c>
      <c r="C5" s="49" t="s">
        <v>444</v>
      </c>
      <c r="D5" s="49" t="s">
        <v>445</v>
      </c>
      <c r="E5" s="49" t="s">
        <v>446</v>
      </c>
    </row>
    <row r="6" spans="1:11" ht="15.75" thickBot="1" x14ac:dyDescent="0.3">
      <c r="A6" s="295">
        <f>'Solicitud de Adhesión'!C7</f>
        <v>0</v>
      </c>
      <c r="B6" s="50" t="s">
        <v>447</v>
      </c>
      <c r="C6" s="105">
        <v>216</v>
      </c>
      <c r="D6" s="102">
        <f>Evaluacion!AE5</f>
        <v>216</v>
      </c>
      <c r="E6" s="52">
        <f>D6/C6</f>
        <v>1</v>
      </c>
    </row>
    <row r="7" spans="1:11" ht="15.75" thickBot="1" x14ac:dyDescent="0.3">
      <c r="A7" s="296"/>
      <c r="B7" s="53" t="s">
        <v>448</v>
      </c>
      <c r="C7" s="101">
        <v>156</v>
      </c>
      <c r="D7" s="103">
        <f>Evaluacion!AE23</f>
        <v>156</v>
      </c>
      <c r="E7" s="55">
        <f t="shared" ref="E7:E17" si="0">D7/C7</f>
        <v>1</v>
      </c>
    </row>
    <row r="8" spans="1:11" ht="15.75" thickBot="1" x14ac:dyDescent="0.3">
      <c r="A8" s="296"/>
      <c r="B8" s="50" t="s">
        <v>30</v>
      </c>
      <c r="C8" s="105">
        <v>255</v>
      </c>
      <c r="D8" s="102">
        <f>Evaluacion!AE29</f>
        <v>255</v>
      </c>
      <c r="E8" s="52">
        <f t="shared" si="0"/>
        <v>1</v>
      </c>
    </row>
    <row r="9" spans="1:11" ht="15.75" thickBot="1" x14ac:dyDescent="0.3">
      <c r="A9" s="296"/>
      <c r="B9" s="53" t="s">
        <v>41</v>
      </c>
      <c r="C9" s="106">
        <v>20</v>
      </c>
      <c r="D9" s="103">
        <f>Evaluacion!AE44</f>
        <v>20</v>
      </c>
      <c r="E9" s="55">
        <f t="shared" si="0"/>
        <v>1</v>
      </c>
    </row>
    <row r="10" spans="1:11" ht="15.75" thickBot="1" x14ac:dyDescent="0.3">
      <c r="A10" s="296"/>
      <c r="B10" s="50" t="s">
        <v>43</v>
      </c>
      <c r="C10" s="105">
        <v>212</v>
      </c>
      <c r="D10" s="102">
        <f>Evaluacion!AE45</f>
        <v>212</v>
      </c>
      <c r="E10" s="52">
        <f t="shared" si="0"/>
        <v>1</v>
      </c>
    </row>
    <row r="11" spans="1:11" ht="15.75" thickBot="1" x14ac:dyDescent="0.3">
      <c r="A11" s="296"/>
      <c r="B11" s="53" t="s">
        <v>48</v>
      </c>
      <c r="C11" s="106">
        <v>273.62</v>
      </c>
      <c r="D11" s="103">
        <f>Evaluacion!AE53</f>
        <v>273.62</v>
      </c>
      <c r="E11" s="55">
        <f t="shared" si="0"/>
        <v>1</v>
      </c>
    </row>
    <row r="12" spans="1:11" ht="15.75" thickBot="1" x14ac:dyDescent="0.3">
      <c r="A12" s="296"/>
      <c r="B12" s="50" t="s">
        <v>53</v>
      </c>
      <c r="C12" s="105">
        <v>134.1</v>
      </c>
      <c r="D12" s="102">
        <f>Evaluacion!AE65</f>
        <v>134.1</v>
      </c>
      <c r="E12" s="52">
        <f t="shared" si="0"/>
        <v>1</v>
      </c>
    </row>
    <row r="13" spans="1:11" ht="15.75" thickBot="1" x14ac:dyDescent="0.3">
      <c r="A13" s="296"/>
      <c r="B13" s="53" t="s">
        <v>57</v>
      </c>
      <c r="C13" s="106">
        <v>66.5</v>
      </c>
      <c r="D13" s="103">
        <f>Evaluacion!AE71</f>
        <v>66.5</v>
      </c>
      <c r="E13" s="55">
        <f t="shared" si="0"/>
        <v>1</v>
      </c>
    </row>
    <row r="14" spans="1:11" ht="15.75" thickBot="1" x14ac:dyDescent="0.3">
      <c r="A14" s="296"/>
      <c r="B14" s="50" t="s">
        <v>452</v>
      </c>
      <c r="C14" s="105">
        <v>150</v>
      </c>
      <c r="D14" s="102">
        <f>Evaluacion!AE75</f>
        <v>150</v>
      </c>
      <c r="E14" s="52">
        <f t="shared" si="0"/>
        <v>1</v>
      </c>
    </row>
    <row r="15" spans="1:11" ht="15.75" thickBot="1" x14ac:dyDescent="0.3">
      <c r="A15" s="296"/>
      <c r="B15" s="56" t="s">
        <v>62</v>
      </c>
      <c r="C15" s="106">
        <v>37.5</v>
      </c>
      <c r="D15" s="104">
        <f>Evaluacion!AE86</f>
        <v>37.5</v>
      </c>
      <c r="E15" s="55">
        <f t="shared" si="0"/>
        <v>1</v>
      </c>
    </row>
    <row r="16" spans="1:11" ht="15.75" thickBot="1" x14ac:dyDescent="0.3">
      <c r="A16" s="296"/>
      <c r="B16" s="50" t="s">
        <v>65</v>
      </c>
      <c r="C16" s="105">
        <v>240</v>
      </c>
      <c r="D16" s="102">
        <f>Evaluacion!AE89</f>
        <v>240</v>
      </c>
      <c r="E16" s="52">
        <f t="shared" si="0"/>
        <v>1</v>
      </c>
    </row>
    <row r="17" spans="1:5" ht="15.75" thickBot="1" x14ac:dyDescent="0.3">
      <c r="A17" s="297"/>
      <c r="B17" s="53" t="s">
        <v>69</v>
      </c>
      <c r="C17" s="106">
        <v>239.28</v>
      </c>
      <c r="D17" s="103">
        <f>Evaluacion!AE93</f>
        <v>239.28399999999999</v>
      </c>
      <c r="E17" s="55">
        <f t="shared" si="0"/>
        <v>1.0000167168171179</v>
      </c>
    </row>
  </sheetData>
  <mergeCells count="3">
    <mergeCell ref="A2:E2"/>
    <mergeCell ref="A3:E3"/>
    <mergeCell ref="A6:A1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4"/>
  <sheetViews>
    <sheetView workbookViewId="0">
      <selection activeCell="B5" sqref="B5:D16"/>
    </sheetView>
  </sheetViews>
  <sheetFormatPr baseColWidth="10" defaultRowHeight="15" x14ac:dyDescent="0.25"/>
  <cols>
    <col min="2" max="2" width="34.5703125" customWidth="1"/>
    <col min="3" max="3" width="22.5703125" customWidth="1"/>
    <col min="4" max="4" width="26.140625" customWidth="1"/>
  </cols>
  <sheetData>
    <row r="2" spans="2:5" ht="19.5" thickBot="1" x14ac:dyDescent="0.35">
      <c r="B2" s="299" t="s">
        <v>459</v>
      </c>
      <c r="C2" s="299"/>
      <c r="D2" s="299"/>
    </row>
    <row r="3" spans="2:5" ht="15.75" thickBot="1" x14ac:dyDescent="0.3">
      <c r="B3" s="82"/>
      <c r="C3" s="82"/>
      <c r="D3" s="82"/>
    </row>
    <row r="4" spans="2:5" ht="15.75" thickBot="1" x14ac:dyDescent="0.3">
      <c r="B4" s="83" t="s">
        <v>460</v>
      </c>
      <c r="C4" s="84" t="s">
        <v>461</v>
      </c>
      <c r="D4" s="85" t="s">
        <v>462</v>
      </c>
    </row>
    <row r="5" spans="2:5" ht="15.75" thickBot="1" x14ac:dyDescent="0.3">
      <c r="B5" s="107" t="s">
        <v>447</v>
      </c>
      <c r="C5" s="109">
        <v>0.11</v>
      </c>
      <c r="D5" s="111">
        <v>216</v>
      </c>
      <c r="E5" s="114"/>
    </row>
    <row r="6" spans="2:5" ht="30.75" thickBot="1" x14ac:dyDescent="0.3">
      <c r="B6" s="108" t="s">
        <v>463</v>
      </c>
      <c r="C6" s="110">
        <v>0.08</v>
      </c>
      <c r="D6" s="112">
        <v>156</v>
      </c>
      <c r="E6" s="114"/>
    </row>
    <row r="7" spans="2:5" ht="15.75" thickBot="1" x14ac:dyDescent="0.3">
      <c r="B7" s="108" t="s">
        <v>30</v>
      </c>
      <c r="C7" s="110">
        <v>0.13</v>
      </c>
      <c r="D7" s="112">
        <v>255</v>
      </c>
      <c r="E7" s="114"/>
    </row>
    <row r="8" spans="2:5" ht="15.75" thickBot="1" x14ac:dyDescent="0.3">
      <c r="B8" s="108" t="s">
        <v>41</v>
      </c>
      <c r="C8" s="110">
        <v>0.01</v>
      </c>
      <c r="D8" s="112">
        <v>20</v>
      </c>
      <c r="E8" s="114"/>
    </row>
    <row r="9" spans="2:5" ht="15.75" thickBot="1" x14ac:dyDescent="0.3">
      <c r="B9" s="108" t="s">
        <v>43</v>
      </c>
      <c r="C9" s="110">
        <v>0.1</v>
      </c>
      <c r="D9" s="112">
        <v>212</v>
      </c>
      <c r="E9" s="114"/>
    </row>
    <row r="10" spans="2:5" ht="15.75" thickBot="1" x14ac:dyDescent="0.3">
      <c r="B10" s="108" t="s">
        <v>48</v>
      </c>
      <c r="C10" s="110">
        <v>0.14000000000000001</v>
      </c>
      <c r="D10" s="113">
        <v>273.62</v>
      </c>
      <c r="E10" s="114"/>
    </row>
    <row r="11" spans="2:5" ht="15.75" thickBot="1" x14ac:dyDescent="0.3">
      <c r="B11" s="108" t="s">
        <v>53</v>
      </c>
      <c r="C11" s="110">
        <v>7.0000000000000007E-2</v>
      </c>
      <c r="D11" s="112">
        <v>134.1</v>
      </c>
      <c r="E11" s="114"/>
    </row>
    <row r="12" spans="2:5" ht="15.75" thickBot="1" x14ac:dyDescent="0.3">
      <c r="B12" s="108" t="s">
        <v>57</v>
      </c>
      <c r="C12" s="110">
        <v>0.03</v>
      </c>
      <c r="D12" s="112">
        <v>66.5</v>
      </c>
      <c r="E12" s="114"/>
    </row>
    <row r="13" spans="2:5" ht="15.75" thickBot="1" x14ac:dyDescent="0.3">
      <c r="B13" s="108" t="s">
        <v>62</v>
      </c>
      <c r="C13" s="110">
        <v>7.0000000000000007E-2</v>
      </c>
      <c r="D13" s="112">
        <v>150</v>
      </c>
      <c r="E13" s="114"/>
    </row>
    <row r="14" spans="2:5" ht="15.75" thickBot="1" x14ac:dyDescent="0.3">
      <c r="B14" s="108" t="s">
        <v>65</v>
      </c>
      <c r="C14" s="110">
        <v>0.02</v>
      </c>
      <c r="D14" s="112">
        <v>37.5</v>
      </c>
      <c r="E14" s="114"/>
    </row>
    <row r="15" spans="2:5" ht="15.75" thickBot="1" x14ac:dyDescent="0.3">
      <c r="B15" s="108" t="s">
        <v>69</v>
      </c>
      <c r="C15" s="110">
        <v>0.12</v>
      </c>
      <c r="D15" s="112">
        <v>240</v>
      </c>
      <c r="E15" s="114"/>
    </row>
    <row r="16" spans="2:5" ht="15.75" thickBot="1" x14ac:dyDescent="0.3">
      <c r="B16" s="108" t="s">
        <v>450</v>
      </c>
      <c r="C16" s="110">
        <v>0.12</v>
      </c>
      <c r="D16" s="113">
        <v>239.28</v>
      </c>
      <c r="E16" s="114"/>
    </row>
    <row r="17" spans="2:4" ht="15.75" thickBot="1" x14ac:dyDescent="0.3">
      <c r="B17" s="86" t="s">
        <v>464</v>
      </c>
      <c r="C17" s="87">
        <f>SUM(C5:C16)</f>
        <v>1.0000000000000002</v>
      </c>
      <c r="D17" s="100">
        <f>SUM(D5:D16)</f>
        <v>1999.9999999999998</v>
      </c>
    </row>
    <row r="20" spans="2:4" ht="18.75" x14ac:dyDescent="0.3">
      <c r="B20" s="300" t="s">
        <v>465</v>
      </c>
      <c r="C20" s="300"/>
      <c r="D20" s="300"/>
    </row>
    <row r="21" spans="2:4" ht="15.75" thickBot="1" x14ac:dyDescent="0.3"/>
    <row r="22" spans="2:4" ht="15.75" thickBot="1" x14ac:dyDescent="0.3">
      <c r="B22" s="88" t="s">
        <v>466</v>
      </c>
      <c r="C22" s="89" t="s">
        <v>467</v>
      </c>
      <c r="D22" s="90" t="s">
        <v>468</v>
      </c>
    </row>
    <row r="23" spans="2:4" ht="15.75" thickBot="1" x14ac:dyDescent="0.3">
      <c r="B23" s="91">
        <v>1</v>
      </c>
      <c r="C23" s="92" t="s">
        <v>469</v>
      </c>
      <c r="D23" s="92" t="s">
        <v>470</v>
      </c>
    </row>
    <row r="24" spans="2:4" ht="15.75" thickBot="1" x14ac:dyDescent="0.3">
      <c r="B24" s="93">
        <v>2</v>
      </c>
      <c r="C24" s="94" t="s">
        <v>471</v>
      </c>
      <c r="D24" s="94" t="s">
        <v>472</v>
      </c>
    </row>
    <row r="25" spans="2:4" ht="15.75" thickBot="1" x14ac:dyDescent="0.3">
      <c r="B25" s="91">
        <v>3</v>
      </c>
      <c r="C25" s="92" t="s">
        <v>473</v>
      </c>
      <c r="D25" s="92" t="s">
        <v>474</v>
      </c>
    </row>
    <row r="26" spans="2:4" ht="15.75" thickBot="1" x14ac:dyDescent="0.3">
      <c r="B26" s="93">
        <v>4</v>
      </c>
      <c r="C26" s="94" t="s">
        <v>475</v>
      </c>
      <c r="D26" s="94" t="s">
        <v>476</v>
      </c>
    </row>
    <row r="27" spans="2:4" ht="15.75" thickBot="1" x14ac:dyDescent="0.3">
      <c r="B27" s="91">
        <v>5</v>
      </c>
      <c r="C27" s="92" t="s">
        <v>477</v>
      </c>
      <c r="D27" s="92" t="s">
        <v>478</v>
      </c>
    </row>
    <row r="30" spans="2:4" ht="18.75" x14ac:dyDescent="0.3">
      <c r="B30" s="300" t="s">
        <v>479</v>
      </c>
      <c r="C30" s="300"/>
      <c r="D30" s="300"/>
    </row>
    <row r="32" spans="2:4" ht="15.75" x14ac:dyDescent="0.25">
      <c r="B32" s="301" t="s">
        <v>480</v>
      </c>
      <c r="C32" s="301"/>
      <c r="D32" s="301"/>
    </row>
    <row r="33" spans="2:4" x14ac:dyDescent="0.25">
      <c r="B33" s="95"/>
    </row>
    <row r="34" spans="2:4" ht="52.5" customHeight="1" x14ac:dyDescent="0.25">
      <c r="B34" s="298" t="s">
        <v>481</v>
      </c>
      <c r="C34" s="298"/>
      <c r="D34" s="298"/>
    </row>
    <row r="35" spans="2:4" x14ac:dyDescent="0.25">
      <c r="B35" s="95"/>
    </row>
    <row r="36" spans="2:4" ht="54.75" customHeight="1" x14ac:dyDescent="0.25">
      <c r="B36" s="298" t="s">
        <v>482</v>
      </c>
      <c r="C36" s="298"/>
      <c r="D36" s="298"/>
    </row>
    <row r="37" spans="2:4" x14ac:dyDescent="0.25">
      <c r="B37" s="96"/>
      <c r="C37" s="97"/>
      <c r="D37" s="97"/>
    </row>
    <row r="38" spans="2:4" ht="51" customHeight="1" x14ac:dyDescent="0.25">
      <c r="B38" s="298" t="s">
        <v>483</v>
      </c>
      <c r="C38" s="298"/>
      <c r="D38" s="298"/>
    </row>
    <row r="39" spans="2:4" x14ac:dyDescent="0.25">
      <c r="B39" s="96"/>
      <c r="C39" s="97"/>
      <c r="D39" s="97"/>
    </row>
    <row r="40" spans="2:4" ht="54.75" customHeight="1" x14ac:dyDescent="0.25">
      <c r="B40" s="298" t="s">
        <v>484</v>
      </c>
      <c r="C40" s="298"/>
      <c r="D40" s="298"/>
    </row>
    <row r="41" spans="2:4" x14ac:dyDescent="0.25">
      <c r="B41" s="96"/>
      <c r="C41" s="97"/>
      <c r="D41" s="97"/>
    </row>
    <row r="42" spans="2:4" ht="51" customHeight="1" x14ac:dyDescent="0.25">
      <c r="B42" s="298" t="s">
        <v>485</v>
      </c>
      <c r="C42" s="298"/>
      <c r="D42" s="298"/>
    </row>
    <row r="43" spans="2:4" x14ac:dyDescent="0.25">
      <c r="B43" s="96"/>
      <c r="C43" s="96"/>
      <c r="D43" s="96"/>
    </row>
    <row r="44" spans="2:4" ht="15.75" x14ac:dyDescent="0.25">
      <c r="B44" s="98"/>
      <c r="C44" s="99"/>
      <c r="D44" s="99"/>
    </row>
  </sheetData>
  <mergeCells count="9">
    <mergeCell ref="B38:D38"/>
    <mergeCell ref="B40:D40"/>
    <mergeCell ref="B42:D42"/>
    <mergeCell ref="B2:D2"/>
    <mergeCell ref="B20:D20"/>
    <mergeCell ref="B30:D30"/>
    <mergeCell ref="B32:D32"/>
    <mergeCell ref="B34:D34"/>
    <mergeCell ref="B36:D3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zoomScale="85" zoomScaleNormal="85" workbookViewId="0">
      <pane ySplit="2" topLeftCell="A3" activePane="bottomLeft" state="frozen"/>
      <selection pane="bottomLeft" activeCell="B66" sqref="B66"/>
    </sheetView>
  </sheetViews>
  <sheetFormatPr baseColWidth="10" defaultRowHeight="15.75" x14ac:dyDescent="0.25"/>
  <cols>
    <col min="1" max="1" width="4.7109375" style="29" customWidth="1"/>
    <col min="2" max="2" width="114.140625" style="29" customWidth="1"/>
    <col min="3" max="3" width="8.7109375" style="29" customWidth="1"/>
    <col min="4" max="11" width="11.42578125" style="17"/>
  </cols>
  <sheetData>
    <row r="1" spans="1:11" ht="77.25" customHeight="1" x14ac:dyDescent="0.25">
      <c r="A1" s="292" t="s">
        <v>308</v>
      </c>
      <c r="B1" s="293"/>
      <c r="C1" s="293"/>
    </row>
    <row r="2" spans="1:11" s="19" customFormat="1" ht="26.25" customHeight="1" x14ac:dyDescent="0.25">
      <c r="A2" s="23" t="s">
        <v>1</v>
      </c>
      <c r="B2" s="303" t="s">
        <v>187</v>
      </c>
      <c r="C2" s="304"/>
      <c r="D2" s="18"/>
      <c r="E2" s="18"/>
      <c r="F2" s="18"/>
      <c r="G2" s="18"/>
      <c r="H2" s="18"/>
      <c r="I2" s="18"/>
      <c r="J2" s="18"/>
      <c r="K2" s="18"/>
    </row>
    <row r="3" spans="1:11" s="19" customFormat="1" ht="26.25" customHeight="1" x14ac:dyDescent="0.25">
      <c r="A3" s="307" t="s">
        <v>368</v>
      </c>
      <c r="B3" s="308"/>
      <c r="C3" s="309"/>
      <c r="D3" s="18"/>
      <c r="E3" s="18"/>
      <c r="F3" s="18"/>
      <c r="G3" s="18"/>
      <c r="H3" s="18"/>
      <c r="I3" s="18"/>
      <c r="J3" s="18"/>
      <c r="K3" s="18"/>
    </row>
    <row r="4" spans="1:11" ht="23.25" customHeight="1" x14ac:dyDescent="0.25">
      <c r="A4" s="305" t="s">
        <v>362</v>
      </c>
      <c r="B4" s="305"/>
      <c r="C4" s="8">
        <v>0</v>
      </c>
    </row>
    <row r="5" spans="1:11" ht="126" x14ac:dyDescent="0.25">
      <c r="A5" s="20">
        <v>1</v>
      </c>
      <c r="B5" s="33" t="s">
        <v>309</v>
      </c>
      <c r="C5" s="33"/>
    </row>
    <row r="6" spans="1:11" ht="47.25" x14ac:dyDescent="0.25">
      <c r="A6" s="20">
        <v>2</v>
      </c>
      <c r="B6" s="33" t="s">
        <v>310</v>
      </c>
      <c r="C6" s="33"/>
    </row>
    <row r="7" spans="1:11" ht="54.75" customHeight="1" x14ac:dyDescent="0.25">
      <c r="A7" s="20">
        <v>3</v>
      </c>
      <c r="B7" s="33" t="s">
        <v>311</v>
      </c>
      <c r="C7" s="33"/>
    </row>
    <row r="8" spans="1:11" ht="72.75" customHeight="1" x14ac:dyDescent="0.25">
      <c r="A8" s="20">
        <v>4</v>
      </c>
      <c r="B8" s="33" t="s">
        <v>326</v>
      </c>
      <c r="C8" s="33"/>
    </row>
    <row r="9" spans="1:11" ht="93" customHeight="1" x14ac:dyDescent="0.25">
      <c r="A9" s="20">
        <v>5</v>
      </c>
      <c r="B9" s="33" t="s">
        <v>312</v>
      </c>
      <c r="C9" s="33"/>
    </row>
    <row r="10" spans="1:11" ht="120" customHeight="1" x14ac:dyDescent="0.25">
      <c r="A10" s="20">
        <v>6</v>
      </c>
      <c r="B10" s="33" t="s">
        <v>313</v>
      </c>
      <c r="C10" s="33"/>
    </row>
    <row r="11" spans="1:11" ht="86.25" customHeight="1" x14ac:dyDescent="0.25">
      <c r="A11" s="20">
        <v>7</v>
      </c>
      <c r="B11" s="33" t="s">
        <v>314</v>
      </c>
      <c r="C11" s="33"/>
    </row>
    <row r="12" spans="1:11" ht="63" x14ac:dyDescent="0.25">
      <c r="A12" s="20">
        <v>8</v>
      </c>
      <c r="B12" s="33" t="s">
        <v>315</v>
      </c>
      <c r="C12" s="33"/>
    </row>
    <row r="13" spans="1:11" ht="72" customHeight="1" x14ac:dyDescent="0.25">
      <c r="A13" s="20">
        <v>9</v>
      </c>
      <c r="B13" s="33" t="s">
        <v>316</v>
      </c>
      <c r="C13" s="33"/>
    </row>
    <row r="14" spans="1:11" ht="103.5" customHeight="1" x14ac:dyDescent="0.25">
      <c r="A14" s="20">
        <v>10</v>
      </c>
      <c r="B14" s="33" t="s">
        <v>317</v>
      </c>
      <c r="C14" s="33"/>
    </row>
    <row r="15" spans="1:11" ht="63" x14ac:dyDescent="0.25">
      <c r="A15" s="20">
        <v>11</v>
      </c>
      <c r="B15" s="33" t="s">
        <v>318</v>
      </c>
      <c r="C15" s="33"/>
    </row>
    <row r="16" spans="1:11" ht="47.25" x14ac:dyDescent="0.25">
      <c r="A16" s="20">
        <v>12</v>
      </c>
      <c r="B16" s="33" t="s">
        <v>319</v>
      </c>
      <c r="C16" s="33"/>
    </row>
    <row r="17" spans="1:4" ht="78.75" x14ac:dyDescent="0.25">
      <c r="A17" s="20">
        <v>13</v>
      </c>
      <c r="B17" s="33" t="s">
        <v>320</v>
      </c>
      <c r="C17" s="33"/>
    </row>
    <row r="18" spans="1:4" s="17" customFormat="1" ht="124.5" customHeight="1" x14ac:dyDescent="0.25">
      <c r="A18" s="20">
        <v>14</v>
      </c>
      <c r="B18" s="33" t="s">
        <v>321</v>
      </c>
      <c r="C18" s="33"/>
    </row>
    <row r="19" spans="1:4" s="17" customFormat="1" ht="69" customHeight="1" x14ac:dyDescent="0.25">
      <c r="A19" s="20">
        <v>15</v>
      </c>
      <c r="B19" s="33" t="s">
        <v>322</v>
      </c>
      <c r="C19" s="33"/>
    </row>
    <row r="20" spans="1:4" s="17" customFormat="1" ht="180.75" customHeight="1" x14ac:dyDescent="0.25">
      <c r="A20" s="20">
        <v>16</v>
      </c>
      <c r="B20" s="33" t="s">
        <v>323</v>
      </c>
      <c r="C20" s="33"/>
    </row>
    <row r="21" spans="1:4" s="17" customFormat="1" ht="88.5" customHeight="1" x14ac:dyDescent="0.25">
      <c r="A21" s="20">
        <v>17</v>
      </c>
      <c r="B21" s="33" t="s">
        <v>324</v>
      </c>
      <c r="C21" s="33"/>
    </row>
    <row r="22" spans="1:4" s="17" customFormat="1" ht="84.75" customHeight="1" x14ac:dyDescent="0.25">
      <c r="A22" s="20">
        <v>18</v>
      </c>
      <c r="B22" s="33" t="s">
        <v>325</v>
      </c>
      <c r="C22" s="33"/>
    </row>
    <row r="23" spans="1:4" s="17" customFormat="1" ht="39.75" customHeight="1" x14ac:dyDescent="0.25">
      <c r="A23" s="20">
        <v>19</v>
      </c>
      <c r="B23" s="33" t="s">
        <v>327</v>
      </c>
      <c r="C23" s="33"/>
    </row>
    <row r="24" spans="1:4" s="17" customFormat="1" ht="27" customHeight="1" x14ac:dyDescent="0.25">
      <c r="A24" s="306" t="s">
        <v>328</v>
      </c>
      <c r="B24" s="306"/>
      <c r="C24" s="26">
        <v>0</v>
      </c>
      <c r="D24" s="22"/>
    </row>
    <row r="25" spans="1:4" s="17" customFormat="1" ht="31.5" x14ac:dyDescent="0.25">
      <c r="A25" s="20">
        <v>1</v>
      </c>
      <c r="B25" s="33" t="s">
        <v>329</v>
      </c>
      <c r="C25" s="33"/>
      <c r="D25" s="21"/>
    </row>
    <row r="26" spans="1:4" s="17" customFormat="1" ht="63" x14ac:dyDescent="0.25">
      <c r="A26" s="20">
        <v>2</v>
      </c>
      <c r="B26" s="33" t="s">
        <v>330</v>
      </c>
      <c r="C26" s="33"/>
      <c r="D26" s="21"/>
    </row>
    <row r="27" spans="1:4" s="17" customFormat="1" ht="31.5" x14ac:dyDescent="0.25">
      <c r="A27" s="20">
        <v>3</v>
      </c>
      <c r="B27" s="33" t="s">
        <v>331</v>
      </c>
      <c r="C27" s="33"/>
    </row>
    <row r="28" spans="1:4" s="17" customFormat="1" ht="31.5" x14ac:dyDescent="0.25">
      <c r="A28" s="20">
        <v>4</v>
      </c>
      <c r="B28" s="33" t="s">
        <v>332</v>
      </c>
      <c r="C28" s="33"/>
    </row>
    <row r="29" spans="1:4" s="17" customFormat="1" ht="31.5" x14ac:dyDescent="0.25">
      <c r="A29" s="20">
        <v>5</v>
      </c>
      <c r="B29" s="33" t="s">
        <v>333</v>
      </c>
      <c r="C29" s="33"/>
    </row>
    <row r="30" spans="1:4" s="17" customFormat="1" ht="31.5" x14ac:dyDescent="0.25">
      <c r="A30" s="20">
        <v>6</v>
      </c>
      <c r="B30" s="33" t="s">
        <v>334</v>
      </c>
      <c r="C30" s="33"/>
    </row>
    <row r="31" spans="1:4" s="17" customFormat="1" ht="31.5" x14ac:dyDescent="0.25">
      <c r="A31" s="20">
        <v>7</v>
      </c>
      <c r="B31" s="33" t="s">
        <v>335</v>
      </c>
      <c r="C31" s="33"/>
    </row>
    <row r="32" spans="1:4" s="17" customFormat="1" ht="47.25" x14ac:dyDescent="0.25">
      <c r="A32" s="20">
        <v>8</v>
      </c>
      <c r="B32" s="33" t="s">
        <v>336</v>
      </c>
      <c r="C32" s="33"/>
    </row>
    <row r="33" spans="1:3" s="17" customFormat="1" ht="47.25" x14ac:dyDescent="0.25">
      <c r="A33" s="20">
        <v>9</v>
      </c>
      <c r="B33" s="33" t="s">
        <v>337</v>
      </c>
      <c r="C33" s="33"/>
    </row>
    <row r="34" spans="1:3" s="17" customFormat="1" ht="31.5" x14ac:dyDescent="0.25">
      <c r="A34" s="20">
        <v>10</v>
      </c>
      <c r="B34" s="33" t="s">
        <v>338</v>
      </c>
      <c r="C34" s="33"/>
    </row>
    <row r="35" spans="1:3" s="17" customFormat="1" ht="31.5" x14ac:dyDescent="0.25">
      <c r="A35" s="20">
        <v>11</v>
      </c>
      <c r="B35" s="33" t="s">
        <v>339</v>
      </c>
      <c r="C35" s="33"/>
    </row>
    <row r="36" spans="1:3" s="17" customFormat="1" ht="31.5" x14ac:dyDescent="0.25">
      <c r="A36" s="20">
        <v>12</v>
      </c>
      <c r="B36" s="33" t="s">
        <v>340</v>
      </c>
      <c r="C36" s="33"/>
    </row>
    <row r="37" spans="1:3" s="17" customFormat="1" ht="31.5" x14ac:dyDescent="0.25">
      <c r="A37" s="20">
        <v>13</v>
      </c>
      <c r="B37" s="33" t="s">
        <v>341</v>
      </c>
      <c r="C37" s="33"/>
    </row>
    <row r="38" spans="1:3" s="17" customFormat="1" ht="31.5" x14ac:dyDescent="0.25">
      <c r="A38" s="20">
        <v>14</v>
      </c>
      <c r="B38" s="33" t="s">
        <v>342</v>
      </c>
      <c r="C38" s="33"/>
    </row>
    <row r="39" spans="1:3" s="17" customFormat="1" ht="39" customHeight="1" x14ac:dyDescent="0.25">
      <c r="A39" s="20">
        <v>15</v>
      </c>
      <c r="B39" s="33" t="s">
        <v>343</v>
      </c>
      <c r="C39" s="33"/>
    </row>
    <row r="40" spans="1:3" s="17" customFormat="1" ht="31.5" x14ac:dyDescent="0.25">
      <c r="A40" s="20">
        <v>16</v>
      </c>
      <c r="B40" s="33" t="s">
        <v>344</v>
      </c>
      <c r="C40" s="33"/>
    </row>
    <row r="41" spans="1:3" s="17" customFormat="1" ht="47.25" x14ac:dyDescent="0.25">
      <c r="A41" s="20">
        <v>17</v>
      </c>
      <c r="B41" s="33" t="s">
        <v>345</v>
      </c>
      <c r="C41" s="33"/>
    </row>
    <row r="42" spans="1:3" s="17" customFormat="1" ht="47.25" x14ac:dyDescent="0.25">
      <c r="A42" s="20">
        <v>18</v>
      </c>
      <c r="B42" s="33" t="s">
        <v>346</v>
      </c>
      <c r="C42" s="33"/>
    </row>
    <row r="43" spans="1:3" s="17" customFormat="1" ht="31.5" x14ac:dyDescent="0.25">
      <c r="A43" s="20">
        <v>19</v>
      </c>
      <c r="B43" s="33" t="s">
        <v>347</v>
      </c>
      <c r="C43" s="33"/>
    </row>
    <row r="44" spans="1:3" s="17" customFormat="1" ht="31.5" x14ac:dyDescent="0.25">
      <c r="A44" s="20">
        <v>20</v>
      </c>
      <c r="B44" s="33" t="s">
        <v>348</v>
      </c>
      <c r="C44" s="33"/>
    </row>
    <row r="45" spans="1:3" s="17" customFormat="1" ht="31.5" x14ac:dyDescent="0.25">
      <c r="A45" s="20">
        <v>21</v>
      </c>
      <c r="B45" s="33" t="s">
        <v>349</v>
      </c>
      <c r="C45" s="33"/>
    </row>
    <row r="46" spans="1:3" s="17" customFormat="1" ht="31.5" x14ac:dyDescent="0.25">
      <c r="A46" s="20">
        <v>22</v>
      </c>
      <c r="B46" s="33" t="s">
        <v>350</v>
      </c>
      <c r="C46" s="33"/>
    </row>
    <row r="47" spans="1:3" s="17" customFormat="1" ht="31.5" x14ac:dyDescent="0.25">
      <c r="A47" s="20">
        <v>23</v>
      </c>
      <c r="B47" s="33" t="s">
        <v>351</v>
      </c>
      <c r="C47" s="33"/>
    </row>
    <row r="48" spans="1:3" s="17" customFormat="1" ht="31.5" x14ac:dyDescent="0.25">
      <c r="A48" s="20">
        <v>24</v>
      </c>
      <c r="B48" s="30" t="s">
        <v>352</v>
      </c>
      <c r="C48" s="33"/>
    </row>
    <row r="49" spans="1:3" s="17" customFormat="1" ht="31.5" x14ac:dyDescent="0.25">
      <c r="A49" s="20">
        <v>25</v>
      </c>
      <c r="B49" s="30" t="s">
        <v>353</v>
      </c>
      <c r="C49" s="33"/>
    </row>
    <row r="50" spans="1:3" s="17" customFormat="1" ht="47.25" x14ac:dyDescent="0.25">
      <c r="A50" s="20">
        <v>26</v>
      </c>
      <c r="B50" s="30" t="s">
        <v>354</v>
      </c>
      <c r="C50" s="33"/>
    </row>
    <row r="51" spans="1:3" s="17" customFormat="1" ht="24" customHeight="1" x14ac:dyDescent="0.25">
      <c r="A51" s="305" t="s">
        <v>355</v>
      </c>
      <c r="B51" s="305"/>
      <c r="C51" s="34">
        <v>0</v>
      </c>
    </row>
    <row r="52" spans="1:3" s="17" customFormat="1" ht="47.25" x14ac:dyDescent="0.25">
      <c r="A52" s="20">
        <v>1</v>
      </c>
      <c r="B52" s="30" t="s">
        <v>363</v>
      </c>
      <c r="C52" s="33"/>
    </row>
    <row r="53" spans="1:3" s="17" customFormat="1" ht="31.5" x14ac:dyDescent="0.25">
      <c r="A53" s="20">
        <v>2</v>
      </c>
      <c r="B53" s="33" t="s">
        <v>356</v>
      </c>
      <c r="C53" s="33"/>
    </row>
    <row r="54" spans="1:3" s="17" customFormat="1" ht="31.5" x14ac:dyDescent="0.25">
      <c r="A54" s="20">
        <v>3</v>
      </c>
      <c r="B54" s="33" t="s">
        <v>357</v>
      </c>
      <c r="C54" s="33"/>
    </row>
    <row r="55" spans="1:3" s="17" customFormat="1" ht="31.5" x14ac:dyDescent="0.25">
      <c r="A55" s="20">
        <v>4</v>
      </c>
      <c r="B55" s="33" t="s">
        <v>358</v>
      </c>
      <c r="C55" s="33"/>
    </row>
    <row r="56" spans="1:3" s="17" customFormat="1" ht="47.25" x14ac:dyDescent="0.25">
      <c r="A56" s="20">
        <v>5</v>
      </c>
      <c r="B56" s="33" t="s">
        <v>359</v>
      </c>
      <c r="C56" s="33"/>
    </row>
    <row r="57" spans="1:3" s="17" customFormat="1" ht="47.25" x14ac:dyDescent="0.25">
      <c r="A57" s="20">
        <v>6</v>
      </c>
      <c r="B57" s="33" t="s">
        <v>360</v>
      </c>
      <c r="C57" s="33"/>
    </row>
    <row r="58" spans="1:3" s="17" customFormat="1" ht="47.25" x14ac:dyDescent="0.25">
      <c r="A58" s="20">
        <v>7</v>
      </c>
      <c r="B58" s="33" t="s">
        <v>361</v>
      </c>
      <c r="C58" s="33"/>
    </row>
    <row r="59" spans="1:3" s="17" customFormat="1" ht="30.75" customHeight="1" x14ac:dyDescent="0.25">
      <c r="A59" s="302" t="s">
        <v>211</v>
      </c>
      <c r="B59" s="302"/>
      <c r="C59" s="35">
        <f>SUM(C4:C58)</f>
        <v>0</v>
      </c>
    </row>
    <row r="60" spans="1:3" s="17" customFormat="1" x14ac:dyDescent="0.25">
      <c r="A60" s="29"/>
      <c r="B60" s="29"/>
      <c r="C60" s="25"/>
    </row>
  </sheetData>
  <mergeCells count="7">
    <mergeCell ref="A59:B59"/>
    <mergeCell ref="A1:C1"/>
    <mergeCell ref="B2:C2"/>
    <mergeCell ref="A4:B4"/>
    <mergeCell ref="A24:B24"/>
    <mergeCell ref="A51:B51"/>
    <mergeCell ref="A3:C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90" zoomScaleNormal="90" workbookViewId="0">
      <pane ySplit="2" topLeftCell="A64" activePane="bottomLeft" state="frozen"/>
      <selection pane="bottomLeft" activeCell="B73" sqref="B73"/>
    </sheetView>
  </sheetViews>
  <sheetFormatPr baseColWidth="10" defaultRowHeight="15.75" x14ac:dyDescent="0.25"/>
  <cols>
    <col min="1" max="1" width="4.7109375" style="12" customWidth="1"/>
    <col min="2" max="2" width="114.140625" style="12" customWidth="1"/>
    <col min="3" max="3" width="8.7109375" style="12" customWidth="1"/>
    <col min="4" max="11" width="11.42578125" style="17"/>
  </cols>
  <sheetData>
    <row r="1" spans="1:11" ht="77.25" customHeight="1" x14ac:dyDescent="0.25">
      <c r="A1" s="292" t="s">
        <v>203</v>
      </c>
      <c r="B1" s="293"/>
      <c r="C1" s="293"/>
    </row>
    <row r="2" spans="1:11" s="19" customFormat="1" ht="26.25" customHeight="1" x14ac:dyDescent="0.25">
      <c r="A2" s="23" t="s">
        <v>1</v>
      </c>
      <c r="B2" s="303" t="s">
        <v>187</v>
      </c>
      <c r="C2" s="304"/>
      <c r="D2" s="18"/>
      <c r="E2" s="18"/>
      <c r="F2" s="18"/>
      <c r="G2" s="18"/>
      <c r="H2" s="18"/>
      <c r="I2" s="18"/>
      <c r="J2" s="18"/>
      <c r="K2" s="18"/>
    </row>
    <row r="3" spans="1:11" ht="23.25" customHeight="1" x14ac:dyDescent="0.25">
      <c r="A3" s="310" t="s">
        <v>250</v>
      </c>
      <c r="B3" s="310"/>
      <c r="C3" s="8">
        <v>0</v>
      </c>
    </row>
    <row r="4" spans="1:11" ht="31.5" x14ac:dyDescent="0.25">
      <c r="A4" s="20">
        <v>1</v>
      </c>
      <c r="B4" s="28" t="s">
        <v>251</v>
      </c>
      <c r="C4" s="24"/>
    </row>
    <row r="5" spans="1:11" ht="47.25" x14ac:dyDescent="0.25">
      <c r="A5" s="20">
        <v>2</v>
      </c>
      <c r="B5" s="30" t="s">
        <v>252</v>
      </c>
      <c r="C5" s="24"/>
    </row>
    <row r="6" spans="1:11" ht="47.25" x14ac:dyDescent="0.25">
      <c r="A6" s="20">
        <v>3</v>
      </c>
      <c r="B6" s="28" t="s">
        <v>188</v>
      </c>
      <c r="C6" s="24"/>
    </row>
    <row r="7" spans="1:11" ht="66" customHeight="1" x14ac:dyDescent="0.25">
      <c r="A7" s="20">
        <v>4</v>
      </c>
      <c r="B7" s="28" t="s">
        <v>253</v>
      </c>
      <c r="C7" s="24"/>
    </row>
    <row r="8" spans="1:11" ht="31.5" x14ac:dyDescent="0.25">
      <c r="A8" s="20">
        <v>5</v>
      </c>
      <c r="B8" s="28" t="s">
        <v>254</v>
      </c>
      <c r="C8" s="24"/>
    </row>
    <row r="9" spans="1:11" ht="51.75" customHeight="1" x14ac:dyDescent="0.25">
      <c r="A9" s="20">
        <v>6</v>
      </c>
      <c r="B9" s="28" t="s">
        <v>255</v>
      </c>
      <c r="C9" s="24"/>
    </row>
    <row r="10" spans="1:11" ht="31.5" x14ac:dyDescent="0.25">
      <c r="A10" s="20">
        <v>7</v>
      </c>
      <c r="B10" s="28" t="s">
        <v>256</v>
      </c>
      <c r="C10" s="24"/>
    </row>
    <row r="11" spans="1:11" ht="47.25" x14ac:dyDescent="0.25">
      <c r="A11" s="20">
        <v>8</v>
      </c>
      <c r="B11" s="28" t="s">
        <v>257</v>
      </c>
      <c r="C11" s="24"/>
    </row>
    <row r="12" spans="1:11" ht="31.5" x14ac:dyDescent="0.25">
      <c r="A12" s="20">
        <v>9</v>
      </c>
      <c r="B12" s="28" t="s">
        <v>258</v>
      </c>
      <c r="C12" s="24"/>
    </row>
    <row r="13" spans="1:11" ht="63" x14ac:dyDescent="0.25">
      <c r="A13" s="20">
        <v>10</v>
      </c>
      <c r="B13" s="28" t="s">
        <v>259</v>
      </c>
      <c r="C13" s="24"/>
    </row>
    <row r="14" spans="1:11" ht="47.25" x14ac:dyDescent="0.25">
      <c r="A14" s="20">
        <v>11</v>
      </c>
      <c r="B14" s="28" t="s">
        <v>260</v>
      </c>
      <c r="C14" s="24"/>
    </row>
    <row r="15" spans="1:11" ht="47.25" x14ac:dyDescent="0.25">
      <c r="A15" s="20">
        <v>12</v>
      </c>
      <c r="B15" s="28" t="s">
        <v>261</v>
      </c>
      <c r="C15" s="24"/>
    </row>
    <row r="16" spans="1:11" ht="47.25" x14ac:dyDescent="0.25">
      <c r="A16" s="20">
        <v>13</v>
      </c>
      <c r="B16" s="28" t="s">
        <v>262</v>
      </c>
      <c r="C16" s="24"/>
    </row>
    <row r="17" spans="1:4" ht="48" customHeight="1" x14ac:dyDescent="0.25">
      <c r="A17" s="20">
        <v>14</v>
      </c>
      <c r="B17" s="28" t="s">
        <v>263</v>
      </c>
      <c r="C17" s="24"/>
    </row>
    <row r="18" spans="1:4" ht="47.25" x14ac:dyDescent="0.25">
      <c r="A18" s="20">
        <v>15</v>
      </c>
      <c r="B18" s="28" t="s">
        <v>264</v>
      </c>
      <c r="C18" s="24"/>
    </row>
    <row r="19" spans="1:4" ht="47.25" x14ac:dyDescent="0.25">
      <c r="A19" s="20">
        <v>16</v>
      </c>
      <c r="B19" s="28" t="s">
        <v>265</v>
      </c>
      <c r="C19" s="24"/>
    </row>
    <row r="20" spans="1:4" ht="47.25" x14ac:dyDescent="0.25">
      <c r="A20" s="20">
        <v>17</v>
      </c>
      <c r="B20" s="28" t="s">
        <v>266</v>
      </c>
      <c r="C20" s="24"/>
    </row>
    <row r="21" spans="1:4" ht="47.25" x14ac:dyDescent="0.25">
      <c r="A21" s="20">
        <v>18</v>
      </c>
      <c r="B21" s="28" t="s">
        <v>267</v>
      </c>
      <c r="C21" s="24"/>
    </row>
    <row r="22" spans="1:4" ht="63" x14ac:dyDescent="0.25">
      <c r="A22" s="20">
        <v>19</v>
      </c>
      <c r="B22" s="28" t="s">
        <v>268</v>
      </c>
      <c r="C22" s="24"/>
    </row>
    <row r="23" spans="1:4" ht="63" x14ac:dyDescent="0.25">
      <c r="A23" s="20">
        <v>20</v>
      </c>
      <c r="B23" s="28" t="s">
        <v>269</v>
      </c>
      <c r="C23" s="24"/>
    </row>
    <row r="24" spans="1:4" ht="47.25" x14ac:dyDescent="0.25">
      <c r="A24" s="20">
        <v>21</v>
      </c>
      <c r="B24" s="28" t="s">
        <v>270</v>
      </c>
      <c r="C24" s="24"/>
    </row>
    <row r="25" spans="1:4" ht="47.25" x14ac:dyDescent="0.25">
      <c r="A25" s="20">
        <v>22</v>
      </c>
      <c r="B25" s="28" t="s">
        <v>271</v>
      </c>
      <c r="C25" s="24"/>
    </row>
    <row r="26" spans="1:4" ht="47.25" x14ac:dyDescent="0.25">
      <c r="A26" s="20">
        <v>23</v>
      </c>
      <c r="B26" s="28" t="s">
        <v>272</v>
      </c>
      <c r="C26" s="24"/>
    </row>
    <row r="27" spans="1:4" ht="47.25" x14ac:dyDescent="0.25">
      <c r="A27" s="20">
        <v>24</v>
      </c>
      <c r="B27" s="28" t="s">
        <v>273</v>
      </c>
      <c r="C27" s="24"/>
    </row>
    <row r="28" spans="1:4" ht="47.25" x14ac:dyDescent="0.25">
      <c r="A28" s="20">
        <v>25</v>
      </c>
      <c r="B28" s="28" t="s">
        <v>274</v>
      </c>
      <c r="C28" s="24"/>
    </row>
    <row r="29" spans="1:4" ht="47.25" x14ac:dyDescent="0.25">
      <c r="A29" s="20">
        <v>26</v>
      </c>
      <c r="B29" s="28" t="s">
        <v>275</v>
      </c>
      <c r="C29" s="24"/>
    </row>
    <row r="30" spans="1:4" ht="47.25" x14ac:dyDescent="0.25">
      <c r="A30" s="20">
        <v>27</v>
      </c>
      <c r="B30" s="28" t="s">
        <v>276</v>
      </c>
      <c r="C30" s="24"/>
    </row>
    <row r="31" spans="1:4" ht="27" customHeight="1" x14ac:dyDescent="0.25">
      <c r="A31" s="310" t="s">
        <v>277</v>
      </c>
      <c r="B31" s="310"/>
      <c r="C31" s="34">
        <v>0</v>
      </c>
      <c r="D31" s="22"/>
    </row>
    <row r="32" spans="1:4" x14ac:dyDescent="0.25">
      <c r="A32" s="20">
        <v>1</v>
      </c>
      <c r="B32" s="20" t="s">
        <v>189</v>
      </c>
      <c r="C32" s="24"/>
      <c r="D32" s="21"/>
    </row>
    <row r="33" spans="1:4" x14ac:dyDescent="0.25">
      <c r="A33" s="20">
        <v>2</v>
      </c>
      <c r="B33" s="20" t="s">
        <v>190</v>
      </c>
      <c r="C33" s="24"/>
      <c r="D33" s="21"/>
    </row>
    <row r="34" spans="1:4" ht="31.5" x14ac:dyDescent="0.25">
      <c r="A34" s="20">
        <v>3</v>
      </c>
      <c r="B34" s="28" t="s">
        <v>191</v>
      </c>
      <c r="C34" s="24"/>
    </row>
    <row r="35" spans="1:4" x14ac:dyDescent="0.25">
      <c r="A35" s="20">
        <v>4</v>
      </c>
      <c r="B35" s="20" t="s">
        <v>192</v>
      </c>
      <c r="C35" s="24"/>
    </row>
    <row r="36" spans="1:4" x14ac:dyDescent="0.25">
      <c r="A36" s="20">
        <v>5</v>
      </c>
      <c r="B36" s="20" t="s">
        <v>193</v>
      </c>
      <c r="C36" s="24"/>
    </row>
    <row r="37" spans="1:4" x14ac:dyDescent="0.25">
      <c r="A37" s="20">
        <v>6</v>
      </c>
      <c r="B37" s="20" t="s">
        <v>194</v>
      </c>
      <c r="C37" s="24"/>
    </row>
    <row r="38" spans="1:4" x14ac:dyDescent="0.25">
      <c r="A38" s="20">
        <v>7</v>
      </c>
      <c r="B38" s="20" t="s">
        <v>195</v>
      </c>
      <c r="C38" s="24"/>
    </row>
    <row r="39" spans="1:4" x14ac:dyDescent="0.25">
      <c r="A39" s="20">
        <v>8</v>
      </c>
      <c r="B39" s="20" t="s">
        <v>196</v>
      </c>
      <c r="C39" s="24"/>
    </row>
    <row r="40" spans="1:4" x14ac:dyDescent="0.25">
      <c r="A40" s="20">
        <v>9</v>
      </c>
      <c r="B40" s="20" t="s">
        <v>278</v>
      </c>
      <c r="C40" s="24"/>
    </row>
    <row r="41" spans="1:4" x14ac:dyDescent="0.25">
      <c r="A41" s="20">
        <v>10</v>
      </c>
      <c r="B41" s="20" t="s">
        <v>197</v>
      </c>
      <c r="C41" s="28"/>
    </row>
    <row r="42" spans="1:4" x14ac:dyDescent="0.25">
      <c r="A42" s="20">
        <v>11</v>
      </c>
      <c r="B42" s="20" t="s">
        <v>198</v>
      </c>
      <c r="C42" s="24"/>
    </row>
    <row r="43" spans="1:4" x14ac:dyDescent="0.25">
      <c r="A43" s="20">
        <v>12</v>
      </c>
      <c r="B43" s="20" t="s">
        <v>199</v>
      </c>
      <c r="C43" s="24"/>
    </row>
    <row r="44" spans="1:4" x14ac:dyDescent="0.25">
      <c r="A44" s="20">
        <v>13</v>
      </c>
      <c r="B44" s="20" t="s">
        <v>200</v>
      </c>
      <c r="C44" s="24"/>
    </row>
    <row r="45" spans="1:4" x14ac:dyDescent="0.25">
      <c r="A45" s="20">
        <v>14</v>
      </c>
      <c r="B45" s="20" t="s">
        <v>201</v>
      </c>
      <c r="C45" s="24"/>
    </row>
    <row r="46" spans="1:4" x14ac:dyDescent="0.25">
      <c r="A46" s="20">
        <v>15</v>
      </c>
      <c r="B46" s="20" t="s">
        <v>202</v>
      </c>
      <c r="C46" s="24"/>
    </row>
    <row r="47" spans="1:4" x14ac:dyDescent="0.25">
      <c r="A47" s="20">
        <v>16</v>
      </c>
      <c r="B47" s="20" t="s">
        <v>280</v>
      </c>
      <c r="C47" s="28"/>
    </row>
    <row r="48" spans="1:4" x14ac:dyDescent="0.25">
      <c r="A48" s="20">
        <v>17</v>
      </c>
      <c r="B48" s="29" t="s">
        <v>279</v>
      </c>
      <c r="C48" s="28"/>
    </row>
    <row r="49" spans="1:3" ht="24" customHeight="1" x14ac:dyDescent="0.25">
      <c r="A49" s="310" t="s">
        <v>281</v>
      </c>
      <c r="B49" s="310"/>
      <c r="C49" s="34">
        <v>0</v>
      </c>
    </row>
    <row r="50" spans="1:3" ht="31.5" x14ac:dyDescent="0.25">
      <c r="A50" s="20">
        <v>1</v>
      </c>
      <c r="B50" s="28" t="s">
        <v>282</v>
      </c>
      <c r="C50" s="24"/>
    </row>
    <row r="51" spans="1:3" ht="31.5" x14ac:dyDescent="0.25">
      <c r="A51" s="20">
        <v>2</v>
      </c>
      <c r="B51" s="28" t="s">
        <v>283</v>
      </c>
      <c r="C51" s="24"/>
    </row>
    <row r="52" spans="1:3" ht="31.5" x14ac:dyDescent="0.25">
      <c r="A52" s="20">
        <v>3</v>
      </c>
      <c r="B52" s="28" t="s">
        <v>284</v>
      </c>
      <c r="C52" s="24"/>
    </row>
    <row r="53" spans="1:3" ht="31.5" x14ac:dyDescent="0.25">
      <c r="A53" s="20">
        <v>4</v>
      </c>
      <c r="B53" s="28" t="s">
        <v>285</v>
      </c>
      <c r="C53" s="24"/>
    </row>
    <row r="54" spans="1:3" ht="31.5" x14ac:dyDescent="0.25">
      <c r="A54" s="20">
        <v>5</v>
      </c>
      <c r="B54" s="28" t="s">
        <v>286</v>
      </c>
      <c r="C54" s="24"/>
    </row>
    <row r="55" spans="1:3" ht="31.5" x14ac:dyDescent="0.25">
      <c r="A55" s="20">
        <v>6</v>
      </c>
      <c r="B55" s="28" t="s">
        <v>287</v>
      </c>
      <c r="C55" s="24"/>
    </row>
    <row r="56" spans="1:3" ht="31.5" x14ac:dyDescent="0.25">
      <c r="A56" s="20">
        <v>7</v>
      </c>
      <c r="B56" s="28" t="s">
        <v>288</v>
      </c>
      <c r="C56" s="24"/>
    </row>
    <row r="57" spans="1:3" ht="31.5" x14ac:dyDescent="0.25">
      <c r="A57" s="20">
        <v>8</v>
      </c>
      <c r="B57" s="28" t="s">
        <v>289</v>
      </c>
      <c r="C57" s="24"/>
    </row>
    <row r="58" spans="1:3" ht="31.5" x14ac:dyDescent="0.25">
      <c r="A58" s="20">
        <v>9</v>
      </c>
      <c r="B58" s="30" t="s">
        <v>290</v>
      </c>
      <c r="C58" s="24"/>
    </row>
    <row r="59" spans="1:3" ht="31.5" x14ac:dyDescent="0.25">
      <c r="A59" s="20">
        <v>10</v>
      </c>
      <c r="B59" s="28" t="s">
        <v>291</v>
      </c>
      <c r="C59" s="24"/>
    </row>
    <row r="60" spans="1:3" ht="31.5" x14ac:dyDescent="0.25">
      <c r="A60" s="20">
        <v>11</v>
      </c>
      <c r="B60" s="28" t="s">
        <v>292</v>
      </c>
      <c r="C60" s="24"/>
    </row>
    <row r="61" spans="1:3" ht="31.5" x14ac:dyDescent="0.25">
      <c r="A61" s="20">
        <v>12</v>
      </c>
      <c r="B61" s="28" t="s">
        <v>293</v>
      </c>
      <c r="C61" s="24"/>
    </row>
    <row r="62" spans="1:3" ht="31.5" x14ac:dyDescent="0.25">
      <c r="A62" s="20">
        <v>13</v>
      </c>
      <c r="B62" s="28" t="s">
        <v>294</v>
      </c>
      <c r="C62" s="24"/>
    </row>
    <row r="63" spans="1:3" ht="31.5" x14ac:dyDescent="0.25">
      <c r="A63" s="20">
        <v>14</v>
      </c>
      <c r="B63" s="28" t="s">
        <v>295</v>
      </c>
      <c r="C63" s="24"/>
    </row>
    <row r="64" spans="1:3" ht="31.5" x14ac:dyDescent="0.25">
      <c r="A64" s="20">
        <v>15</v>
      </c>
      <c r="B64" s="28" t="s">
        <v>296</v>
      </c>
      <c r="C64" s="24"/>
    </row>
    <row r="65" spans="1:3" ht="31.5" x14ac:dyDescent="0.25">
      <c r="A65" s="20">
        <v>16</v>
      </c>
      <c r="B65" s="28" t="s">
        <v>297</v>
      </c>
      <c r="C65" s="24"/>
    </row>
    <row r="66" spans="1:3" ht="31.5" x14ac:dyDescent="0.25">
      <c r="A66" s="20">
        <v>17</v>
      </c>
      <c r="B66" s="28" t="s">
        <v>298</v>
      </c>
      <c r="C66" s="24"/>
    </row>
    <row r="67" spans="1:3" ht="31.5" x14ac:dyDescent="0.25">
      <c r="A67" s="20">
        <v>18</v>
      </c>
      <c r="B67" s="28" t="s">
        <v>299</v>
      </c>
      <c r="C67" s="24"/>
    </row>
    <row r="68" spans="1:3" ht="47.25" x14ac:dyDescent="0.25">
      <c r="A68" s="20">
        <v>19</v>
      </c>
      <c r="B68" s="28" t="s">
        <v>300</v>
      </c>
      <c r="C68" s="24"/>
    </row>
    <row r="69" spans="1:3" ht="30.75" customHeight="1" x14ac:dyDescent="0.25">
      <c r="A69" s="302" t="s">
        <v>211</v>
      </c>
      <c r="B69" s="302"/>
      <c r="C69" s="35">
        <f>SUM(C3:C68)</f>
        <v>0</v>
      </c>
    </row>
    <row r="70" spans="1:3" x14ac:dyDescent="0.25">
      <c r="C70" s="25"/>
    </row>
  </sheetData>
  <mergeCells count="6">
    <mergeCell ref="A1:C1"/>
    <mergeCell ref="A69:B69"/>
    <mergeCell ref="B2:C2"/>
    <mergeCell ref="A31:B31"/>
    <mergeCell ref="A49:B49"/>
    <mergeCell ref="A3:B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7"/>
  <sheetViews>
    <sheetView topLeftCell="A4" workbookViewId="0">
      <selection activeCell="D6" sqref="D6"/>
    </sheetView>
  </sheetViews>
  <sheetFormatPr baseColWidth="10" defaultRowHeight="15" x14ac:dyDescent="0.25"/>
  <cols>
    <col min="1" max="1" width="18.85546875" customWidth="1"/>
    <col min="2" max="2" width="31.42578125" customWidth="1"/>
    <col min="3" max="3" width="15.42578125" customWidth="1"/>
    <col min="4" max="4" width="16.7109375" customWidth="1"/>
    <col min="5" max="5" width="17.28515625" customWidth="1"/>
  </cols>
  <sheetData>
    <row r="2" spans="1:11" ht="51.75" customHeight="1" x14ac:dyDescent="0.25">
      <c r="A2" s="292"/>
      <c r="B2" s="293"/>
      <c r="C2" s="293"/>
      <c r="D2" s="293"/>
      <c r="E2" s="293"/>
      <c r="F2" s="17"/>
      <c r="G2" s="17"/>
      <c r="H2" s="17"/>
      <c r="I2" s="17"/>
      <c r="J2" s="17"/>
      <c r="K2" s="17"/>
    </row>
    <row r="3" spans="1:11" ht="38.25" customHeight="1" x14ac:dyDescent="0.25">
      <c r="A3" s="294" t="s">
        <v>449</v>
      </c>
      <c r="B3" s="294"/>
      <c r="C3" s="294"/>
      <c r="D3" s="294"/>
      <c r="E3" s="294"/>
    </row>
    <row r="4" spans="1:11" ht="15.75" thickBot="1" x14ac:dyDescent="0.3"/>
    <row r="5" spans="1:11" ht="24.75" thickBot="1" x14ac:dyDescent="0.3">
      <c r="A5" s="49" t="s">
        <v>442</v>
      </c>
      <c r="B5" s="49" t="s">
        <v>443</v>
      </c>
      <c r="C5" s="49" t="s">
        <v>444</v>
      </c>
      <c r="D5" s="49" t="s">
        <v>445</v>
      </c>
      <c r="E5" s="49" t="s">
        <v>446</v>
      </c>
    </row>
    <row r="6" spans="1:11" ht="15.75" thickBot="1" x14ac:dyDescent="0.3">
      <c r="A6" s="311" t="e">
        <f>'[1]Datos Generales'!C5:F5</f>
        <v>#VALUE!</v>
      </c>
      <c r="B6" s="50" t="s">
        <v>447</v>
      </c>
      <c r="C6" s="51">
        <v>228</v>
      </c>
      <c r="D6" s="51">
        <f>Evaluacion!AE5</f>
        <v>216</v>
      </c>
      <c r="E6" s="52">
        <f>D6/C6</f>
        <v>0.94736842105263153</v>
      </c>
    </row>
    <row r="7" spans="1:11" ht="15.75" thickBot="1" x14ac:dyDescent="0.3">
      <c r="A7" s="311"/>
      <c r="B7" s="53" t="s">
        <v>448</v>
      </c>
      <c r="C7" s="57">
        <v>156</v>
      </c>
      <c r="D7" s="54">
        <f>Evaluacion!AE23</f>
        <v>156</v>
      </c>
      <c r="E7" s="55">
        <f t="shared" ref="E7:E17" si="0">D7/C7</f>
        <v>1</v>
      </c>
    </row>
    <row r="8" spans="1:11" ht="15.75" thickBot="1" x14ac:dyDescent="0.3">
      <c r="A8" s="311"/>
      <c r="B8" s="50" t="s">
        <v>30</v>
      </c>
      <c r="C8" s="51">
        <v>272</v>
      </c>
      <c r="D8" s="51">
        <f>Evaluacion!AE29</f>
        <v>255</v>
      </c>
      <c r="E8" s="52">
        <f t="shared" si="0"/>
        <v>0.9375</v>
      </c>
    </row>
    <row r="9" spans="1:11" ht="15.75" thickBot="1" x14ac:dyDescent="0.3">
      <c r="A9" s="311"/>
      <c r="B9" s="53" t="s">
        <v>41</v>
      </c>
      <c r="C9" s="57">
        <v>40</v>
      </c>
      <c r="D9" s="54">
        <f>Evaluacion!AE44</f>
        <v>20</v>
      </c>
      <c r="E9" s="55">
        <f t="shared" si="0"/>
        <v>0.5</v>
      </c>
    </row>
    <row r="10" spans="1:11" ht="15.75" thickBot="1" x14ac:dyDescent="0.3">
      <c r="A10" s="311"/>
      <c r="B10" s="50" t="s">
        <v>43</v>
      </c>
      <c r="C10" s="51">
        <v>212</v>
      </c>
      <c r="D10" s="51">
        <f>Evaluacion!AE45</f>
        <v>212</v>
      </c>
      <c r="E10" s="52">
        <f t="shared" si="0"/>
        <v>1</v>
      </c>
    </row>
    <row r="11" spans="1:11" ht="15.75" thickBot="1" x14ac:dyDescent="0.3">
      <c r="A11" s="311"/>
      <c r="B11" s="53" t="s">
        <v>48</v>
      </c>
      <c r="C11" s="57">
        <v>298.3</v>
      </c>
      <c r="D11" s="54">
        <f>Evaluacion!AE53</f>
        <v>273.62</v>
      </c>
      <c r="E11" s="55">
        <f t="shared" si="0"/>
        <v>0.91726449882668448</v>
      </c>
    </row>
    <row r="12" spans="1:11" ht="15.75" thickBot="1" x14ac:dyDescent="0.3">
      <c r="A12" s="311"/>
      <c r="B12" s="50" t="s">
        <v>53</v>
      </c>
      <c r="C12" s="51">
        <v>149.69999999999999</v>
      </c>
      <c r="D12" s="51">
        <f>Evaluacion!AE65</f>
        <v>134.1</v>
      </c>
      <c r="E12" s="52">
        <f t="shared" si="0"/>
        <v>0.89579158316633267</v>
      </c>
    </row>
    <row r="13" spans="1:11" ht="15.75" thickBot="1" x14ac:dyDescent="0.3">
      <c r="A13" s="311"/>
      <c r="B13" s="53" t="s">
        <v>57</v>
      </c>
      <c r="C13" s="57">
        <v>66.5</v>
      </c>
      <c r="D13" s="54">
        <f>Evaluacion!AE71</f>
        <v>66.5</v>
      </c>
      <c r="E13" s="55">
        <f t="shared" si="0"/>
        <v>1</v>
      </c>
    </row>
    <row r="14" spans="1:11" ht="15.75" thickBot="1" x14ac:dyDescent="0.3">
      <c r="A14" s="311"/>
      <c r="B14" s="50" t="s">
        <v>62</v>
      </c>
      <c r="C14" s="51">
        <v>35</v>
      </c>
      <c r="D14" s="51">
        <f>Evaluacion!AE75</f>
        <v>150</v>
      </c>
      <c r="E14" s="52">
        <f t="shared" si="0"/>
        <v>4.2857142857142856</v>
      </c>
    </row>
    <row r="15" spans="1:11" ht="15.75" thickBot="1" x14ac:dyDescent="0.3">
      <c r="A15" s="311"/>
      <c r="B15" s="56" t="s">
        <v>65</v>
      </c>
      <c r="C15" s="57">
        <v>192.5</v>
      </c>
      <c r="D15" s="57">
        <f>Evaluacion!AE86</f>
        <v>37.5</v>
      </c>
      <c r="E15" s="55">
        <f t="shared" si="0"/>
        <v>0.19480519480519481</v>
      </c>
    </row>
    <row r="16" spans="1:11" ht="15.75" thickBot="1" x14ac:dyDescent="0.3">
      <c r="A16" s="311"/>
      <c r="B16" s="50" t="s">
        <v>69</v>
      </c>
      <c r="C16" s="51">
        <v>110</v>
      </c>
      <c r="D16" s="51">
        <f>Evaluacion!AE89</f>
        <v>240</v>
      </c>
      <c r="E16" s="52">
        <f t="shared" si="0"/>
        <v>2.1818181818181817</v>
      </c>
    </row>
    <row r="17" spans="1:5" ht="15.75" thickBot="1" x14ac:dyDescent="0.3">
      <c r="A17" s="311"/>
      <c r="B17" s="56" t="s">
        <v>450</v>
      </c>
      <c r="C17" s="57">
        <v>240</v>
      </c>
      <c r="D17" s="54">
        <f>Evaluacion!AE93</f>
        <v>239.28399999999999</v>
      </c>
      <c r="E17" s="55">
        <f t="shared" si="0"/>
        <v>0.99701666666666666</v>
      </c>
    </row>
  </sheetData>
  <mergeCells count="3">
    <mergeCell ref="A2:E2"/>
    <mergeCell ref="A3:E3"/>
    <mergeCell ref="A6:A17"/>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Instrucciones</vt:lpstr>
      <vt:lpstr>Solicitud de Adhesión</vt:lpstr>
      <vt:lpstr>Evaluacion</vt:lpstr>
      <vt:lpstr>Calificacion</vt:lpstr>
      <vt:lpstr>Segunda condicionante</vt:lpstr>
      <vt:lpstr>Tabla de puntuación</vt:lpstr>
      <vt:lpstr>Marco Legal y Normativo</vt:lpstr>
      <vt:lpstr>Referentes</vt:lpstr>
      <vt:lpstr>Evaluación segunda condicionant</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Adhesión'!Área_de_impresión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2015-08-05T16:22:16Z</cp:lastPrinted>
  <dcterms:created xsi:type="dcterms:W3CDTF">2014-10-13T14:49:42Z</dcterms:created>
  <dcterms:modified xsi:type="dcterms:W3CDTF">2016-10-10T19:06:32Z</dcterms:modified>
</cp:coreProperties>
</file>