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C:\Users\MRABAN~1\DOCUME~1\SECTUR\CUADER~1\GUASDE~1\AJUSTA~1\VERSIO~1\GUASDE~1\PARACO~1\GUASDE~1\MATRIC~1\"/>
    </mc:Choice>
  </mc:AlternateContent>
  <bookViews>
    <workbookView xWindow="0" yWindow="0" windowWidth="24000" windowHeight="9135"/>
  </bookViews>
  <sheets>
    <sheet name="Instrucciones" sheetId="4" r:id="rId1"/>
    <sheet name="Solicitud de Adhesión" sheetId="11" r:id="rId2"/>
    <sheet name="Evaluacion" sheetId="1" r:id="rId3"/>
    <sheet name="Calificacion" sheetId="10" r:id="rId4"/>
    <sheet name="Segunda condicionante" sheetId="13" r:id="rId5"/>
    <sheet name="Tabla de puntuación" sheetId="14" r:id="rId6"/>
    <sheet name="Marco Legal y Normativo" sheetId="12" r:id="rId7"/>
    <sheet name="Referentes" sheetId="5" r:id="rId8"/>
    <sheet name="Comentarios" sheetId="7" r:id="rId9"/>
  </sheets>
  <definedNames>
    <definedName name="_xlnm.Print_Area" localSheetId="3">Calificacion!$A$1:$B$7</definedName>
    <definedName name="_xlnm.Print_Area" localSheetId="8">Comentarios!$A$1:$B$3</definedName>
    <definedName name="_xlnm.Print_Area" localSheetId="2">Evaluacion!$A$1:$AE$153</definedName>
    <definedName name="_xlnm.Print_Area" localSheetId="0">Instrucciones!$A$1:$I$10</definedName>
    <definedName name="_xlnm.Print_Area" localSheetId="6">'Marco Legal y Normativo'!$A$1:$B$29</definedName>
    <definedName name="_xlnm.Print_Area" localSheetId="7">Referentes!$A$1:$B$16</definedName>
    <definedName name="_xlnm.Print_Area" localSheetId="1">'Solicitud de Adhesión'!$A$4:$F$38</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D17" i="14" l="1"/>
  <c r="C17" i="14"/>
  <c r="V132" i="1" l="1"/>
  <c r="U132" i="1"/>
  <c r="T132" i="1"/>
  <c r="S132" i="1"/>
  <c r="R132" i="1"/>
  <c r="V153" i="1"/>
  <c r="U153" i="1"/>
  <c r="T153" i="1"/>
  <c r="S153" i="1"/>
  <c r="R153" i="1"/>
  <c r="V152" i="1"/>
  <c r="U152" i="1"/>
  <c r="T152" i="1"/>
  <c r="S152" i="1"/>
  <c r="R152" i="1"/>
  <c r="V151" i="1"/>
  <c r="U151" i="1"/>
  <c r="T151" i="1"/>
  <c r="S151" i="1"/>
  <c r="R151" i="1"/>
  <c r="V150" i="1"/>
  <c r="U150" i="1"/>
  <c r="T150" i="1"/>
  <c r="S150" i="1"/>
  <c r="R150" i="1"/>
  <c r="U149" i="1"/>
  <c r="T149" i="1"/>
  <c r="S149" i="1"/>
  <c r="V149" i="1"/>
  <c r="R149" i="1"/>
  <c r="V148" i="1"/>
  <c r="U148" i="1"/>
  <c r="T148" i="1"/>
  <c r="S148" i="1"/>
  <c r="R148" i="1"/>
  <c r="U147" i="1"/>
  <c r="T147" i="1"/>
  <c r="S147" i="1"/>
  <c r="V147" i="1"/>
  <c r="R147" i="1"/>
  <c r="V146" i="1"/>
  <c r="U146" i="1"/>
  <c r="T146" i="1"/>
  <c r="S146" i="1"/>
  <c r="R146" i="1"/>
  <c r="V145" i="1"/>
  <c r="U145" i="1"/>
  <c r="T145" i="1"/>
  <c r="S145" i="1"/>
  <c r="R145" i="1"/>
  <c r="V144" i="1"/>
  <c r="U144" i="1"/>
  <c r="T144" i="1"/>
  <c r="S144" i="1"/>
  <c r="R144" i="1"/>
  <c r="U143" i="1"/>
  <c r="T143" i="1"/>
  <c r="S143" i="1"/>
  <c r="V143" i="1"/>
  <c r="R143" i="1"/>
  <c r="V142" i="1"/>
  <c r="U142" i="1"/>
  <c r="T142" i="1"/>
  <c r="S142" i="1"/>
  <c r="R142" i="1"/>
  <c r="V141" i="1"/>
  <c r="U141" i="1"/>
  <c r="T141" i="1"/>
  <c r="S141" i="1"/>
  <c r="R141" i="1"/>
  <c r="V133" i="1"/>
  <c r="U133" i="1"/>
  <c r="T133" i="1"/>
  <c r="S133" i="1"/>
  <c r="R133" i="1"/>
  <c r="V140" i="1"/>
  <c r="U140" i="1"/>
  <c r="T140" i="1"/>
  <c r="S140" i="1"/>
  <c r="R140" i="1"/>
  <c r="V139" i="1"/>
  <c r="U139" i="1"/>
  <c r="T139" i="1"/>
  <c r="S139" i="1"/>
  <c r="R139" i="1"/>
  <c r="V138" i="1"/>
  <c r="U138" i="1"/>
  <c r="T138" i="1"/>
  <c r="S138" i="1"/>
  <c r="R138" i="1"/>
  <c r="V137" i="1"/>
  <c r="U137" i="1"/>
  <c r="T137" i="1"/>
  <c r="S137" i="1"/>
  <c r="R137" i="1"/>
  <c r="V136" i="1"/>
  <c r="U136" i="1"/>
  <c r="T136" i="1"/>
  <c r="S136" i="1"/>
  <c r="R136" i="1"/>
  <c r="V135" i="1"/>
  <c r="U135" i="1"/>
  <c r="T135" i="1"/>
  <c r="S135" i="1"/>
  <c r="R135" i="1"/>
  <c r="V134" i="1"/>
  <c r="U134" i="1"/>
  <c r="T134" i="1"/>
  <c r="S134" i="1"/>
  <c r="R134" i="1"/>
  <c r="V131" i="1"/>
  <c r="U131" i="1"/>
  <c r="T131" i="1"/>
  <c r="S131" i="1"/>
  <c r="R131" i="1"/>
  <c r="V130" i="1"/>
  <c r="U130" i="1"/>
  <c r="T130" i="1"/>
  <c r="S130" i="1"/>
  <c r="R130" i="1"/>
  <c r="V129" i="1"/>
  <c r="U129" i="1"/>
  <c r="T129" i="1"/>
  <c r="S129" i="1"/>
  <c r="R129" i="1"/>
  <c r="U128" i="1"/>
  <c r="T128" i="1"/>
  <c r="S128" i="1"/>
  <c r="V128" i="1"/>
  <c r="R128" i="1"/>
  <c r="V127" i="1"/>
  <c r="U127" i="1"/>
  <c r="T127" i="1"/>
  <c r="S127" i="1"/>
  <c r="R127" i="1"/>
  <c r="V126" i="1"/>
  <c r="U126" i="1"/>
  <c r="T126" i="1"/>
  <c r="S126" i="1"/>
  <c r="R126" i="1"/>
  <c r="V125" i="1"/>
  <c r="U125" i="1"/>
  <c r="T125" i="1"/>
  <c r="S125" i="1"/>
  <c r="R125" i="1"/>
  <c r="U124" i="1"/>
  <c r="T124" i="1"/>
  <c r="S124" i="1"/>
  <c r="V124" i="1"/>
  <c r="R124" i="1"/>
  <c r="V123" i="1"/>
  <c r="U123" i="1"/>
  <c r="T123" i="1"/>
  <c r="S123" i="1"/>
  <c r="R123" i="1"/>
  <c r="U122" i="1"/>
  <c r="T122" i="1"/>
  <c r="S122" i="1"/>
  <c r="V122" i="1"/>
  <c r="R122" i="1"/>
  <c r="V121" i="1"/>
  <c r="U121" i="1"/>
  <c r="T121" i="1"/>
  <c r="S121" i="1"/>
  <c r="R121" i="1"/>
  <c r="V120" i="1"/>
  <c r="U120" i="1"/>
  <c r="T120" i="1"/>
  <c r="S120" i="1"/>
  <c r="R120" i="1"/>
  <c r="V119" i="1"/>
  <c r="U119" i="1"/>
  <c r="T119" i="1"/>
  <c r="S119" i="1"/>
  <c r="R119" i="1"/>
  <c r="V118" i="1"/>
  <c r="U118" i="1"/>
  <c r="T118" i="1"/>
  <c r="S118" i="1"/>
  <c r="R118" i="1"/>
  <c r="U117" i="1"/>
  <c r="T117" i="1"/>
  <c r="S117" i="1"/>
  <c r="V117" i="1"/>
  <c r="R117" i="1"/>
  <c r="V116" i="1"/>
  <c r="U116" i="1"/>
  <c r="T116" i="1"/>
  <c r="S116" i="1"/>
  <c r="R116" i="1"/>
  <c r="V115" i="1"/>
  <c r="U115" i="1"/>
  <c r="T115" i="1"/>
  <c r="S115" i="1"/>
  <c r="R115" i="1"/>
  <c r="V114" i="1"/>
  <c r="U114" i="1"/>
  <c r="T114" i="1"/>
  <c r="S114" i="1"/>
  <c r="R114" i="1"/>
  <c r="V113" i="1"/>
  <c r="U113" i="1"/>
  <c r="T113" i="1"/>
  <c r="S113" i="1"/>
  <c r="R113" i="1"/>
  <c r="U112" i="1"/>
  <c r="T112" i="1"/>
  <c r="S112" i="1"/>
  <c r="V112" i="1"/>
  <c r="R112" i="1"/>
  <c r="V111" i="1"/>
  <c r="U111" i="1"/>
  <c r="T111" i="1"/>
  <c r="S111" i="1"/>
  <c r="R111" i="1"/>
  <c r="V110" i="1"/>
  <c r="U110" i="1"/>
  <c r="T110" i="1"/>
  <c r="S110" i="1"/>
  <c r="R110" i="1"/>
  <c r="V109" i="1"/>
  <c r="U109" i="1"/>
  <c r="T109" i="1"/>
  <c r="S109" i="1"/>
  <c r="R109" i="1"/>
  <c r="V108" i="1"/>
  <c r="U108" i="1"/>
  <c r="T108" i="1"/>
  <c r="S108" i="1"/>
  <c r="R108" i="1"/>
  <c r="U107" i="1"/>
  <c r="T107" i="1"/>
  <c r="S107" i="1"/>
  <c r="V107" i="1"/>
  <c r="R107" i="1"/>
  <c r="U106" i="1"/>
  <c r="T106" i="1"/>
  <c r="S106" i="1"/>
  <c r="V106" i="1"/>
  <c r="R106" i="1"/>
  <c r="V105" i="1"/>
  <c r="U105" i="1"/>
  <c r="T105" i="1"/>
  <c r="S105" i="1"/>
  <c r="R105" i="1"/>
  <c r="U104" i="1"/>
  <c r="T104" i="1"/>
  <c r="S104" i="1"/>
  <c r="V104" i="1"/>
  <c r="R104" i="1"/>
  <c r="U103" i="1"/>
  <c r="T103" i="1"/>
  <c r="S103" i="1"/>
  <c r="V103" i="1"/>
  <c r="R103" i="1"/>
  <c r="U102" i="1"/>
  <c r="T102" i="1"/>
  <c r="S102" i="1"/>
  <c r="V102" i="1"/>
  <c r="R102" i="1"/>
  <c r="V101" i="1"/>
  <c r="U101" i="1"/>
  <c r="T101" i="1"/>
  <c r="S101" i="1"/>
  <c r="R101" i="1"/>
  <c r="V100" i="1"/>
  <c r="U100" i="1"/>
  <c r="T100" i="1"/>
  <c r="S100" i="1"/>
  <c r="R100" i="1"/>
  <c r="V99" i="1"/>
  <c r="U99" i="1"/>
  <c r="T99" i="1"/>
  <c r="S99" i="1"/>
  <c r="R99" i="1"/>
  <c r="V98" i="1"/>
  <c r="U98" i="1"/>
  <c r="T98" i="1"/>
  <c r="S98" i="1"/>
  <c r="R98" i="1"/>
  <c r="U97" i="1"/>
  <c r="T97" i="1"/>
  <c r="S97" i="1"/>
  <c r="V97" i="1"/>
  <c r="R97" i="1"/>
  <c r="V96" i="1"/>
  <c r="U96" i="1"/>
  <c r="T96" i="1"/>
  <c r="S96" i="1"/>
  <c r="R96" i="1"/>
  <c r="V95" i="1"/>
  <c r="U95" i="1"/>
  <c r="T95" i="1"/>
  <c r="S95" i="1"/>
  <c r="R95" i="1"/>
  <c r="V94" i="1"/>
  <c r="U94" i="1"/>
  <c r="T94" i="1"/>
  <c r="S94" i="1"/>
  <c r="R94" i="1"/>
  <c r="V93" i="1"/>
  <c r="U93" i="1"/>
  <c r="T93" i="1"/>
  <c r="S93" i="1"/>
  <c r="R93" i="1"/>
  <c r="V92" i="1"/>
  <c r="U92" i="1"/>
  <c r="T92" i="1"/>
  <c r="S92" i="1"/>
  <c r="R92" i="1"/>
  <c r="U91" i="1"/>
  <c r="T91" i="1"/>
  <c r="S91" i="1"/>
  <c r="V91" i="1"/>
  <c r="R91" i="1"/>
  <c r="V90" i="1"/>
  <c r="U90" i="1"/>
  <c r="T90" i="1"/>
  <c r="S90" i="1"/>
  <c r="R90" i="1"/>
  <c r="U89" i="1"/>
  <c r="T89" i="1"/>
  <c r="S89" i="1"/>
  <c r="V89" i="1"/>
  <c r="R89" i="1"/>
  <c r="V88" i="1"/>
  <c r="U88" i="1"/>
  <c r="T88" i="1"/>
  <c r="S88" i="1"/>
  <c r="R88" i="1"/>
  <c r="V87" i="1"/>
  <c r="U87" i="1"/>
  <c r="T87" i="1"/>
  <c r="S87" i="1"/>
  <c r="R87" i="1"/>
  <c r="U86" i="1"/>
  <c r="T86" i="1"/>
  <c r="S86" i="1"/>
  <c r="V86" i="1"/>
  <c r="R86" i="1"/>
  <c r="V85" i="1"/>
  <c r="U85" i="1"/>
  <c r="T85" i="1"/>
  <c r="S85" i="1"/>
  <c r="R85" i="1"/>
  <c r="V84" i="1"/>
  <c r="U84" i="1"/>
  <c r="T84" i="1"/>
  <c r="S84" i="1"/>
  <c r="R84" i="1"/>
  <c r="V83" i="1"/>
  <c r="U83" i="1"/>
  <c r="T83" i="1"/>
  <c r="S83" i="1"/>
  <c r="R83" i="1"/>
  <c r="V82" i="1"/>
  <c r="U82" i="1"/>
  <c r="T82" i="1"/>
  <c r="S82" i="1"/>
  <c r="R82" i="1"/>
  <c r="V81" i="1"/>
  <c r="U81" i="1"/>
  <c r="T81" i="1"/>
  <c r="S81" i="1"/>
  <c r="R81" i="1"/>
  <c r="V80" i="1"/>
  <c r="U80" i="1"/>
  <c r="T80" i="1"/>
  <c r="S80" i="1"/>
  <c r="R80" i="1"/>
  <c r="V79" i="1"/>
  <c r="U79" i="1"/>
  <c r="T79" i="1"/>
  <c r="S79" i="1"/>
  <c r="R79" i="1"/>
  <c r="V78" i="1"/>
  <c r="U78" i="1"/>
  <c r="T78" i="1"/>
  <c r="S78" i="1"/>
  <c r="R78" i="1"/>
  <c r="V77" i="1"/>
  <c r="U77" i="1"/>
  <c r="T77" i="1"/>
  <c r="S77" i="1"/>
  <c r="R77" i="1"/>
  <c r="U76" i="1"/>
  <c r="T76" i="1"/>
  <c r="S76" i="1"/>
  <c r="V76" i="1"/>
  <c r="R76" i="1"/>
  <c r="V75" i="1"/>
  <c r="U75" i="1"/>
  <c r="T75" i="1"/>
  <c r="S75" i="1"/>
  <c r="R75" i="1"/>
  <c r="V74" i="1"/>
  <c r="U74" i="1"/>
  <c r="T74" i="1"/>
  <c r="S74" i="1"/>
  <c r="R74" i="1"/>
  <c r="U73" i="1"/>
  <c r="T73" i="1"/>
  <c r="S73" i="1"/>
  <c r="V73" i="1"/>
  <c r="R73" i="1"/>
  <c r="V72" i="1"/>
  <c r="U72" i="1"/>
  <c r="T72" i="1"/>
  <c r="S72" i="1"/>
  <c r="R72" i="1"/>
  <c r="V71" i="1"/>
  <c r="U71" i="1"/>
  <c r="T71" i="1"/>
  <c r="S71" i="1"/>
  <c r="R71" i="1"/>
  <c r="V70" i="1"/>
  <c r="U70" i="1"/>
  <c r="T70" i="1"/>
  <c r="S70" i="1"/>
  <c r="R70" i="1"/>
  <c r="V69" i="1"/>
  <c r="U69" i="1"/>
  <c r="T69" i="1"/>
  <c r="S69" i="1"/>
  <c r="R69" i="1"/>
  <c r="V68" i="1"/>
  <c r="U68" i="1"/>
  <c r="T68" i="1"/>
  <c r="S68" i="1"/>
  <c r="R68" i="1"/>
  <c r="U67" i="1"/>
  <c r="T67" i="1"/>
  <c r="S67" i="1"/>
  <c r="V67" i="1"/>
  <c r="R67" i="1"/>
  <c r="V66" i="1"/>
  <c r="U66" i="1"/>
  <c r="T66" i="1"/>
  <c r="S66" i="1"/>
  <c r="R66" i="1"/>
  <c r="V65" i="1"/>
  <c r="U65" i="1"/>
  <c r="T65" i="1"/>
  <c r="S65" i="1"/>
  <c r="R65" i="1"/>
  <c r="V64" i="1"/>
  <c r="U64" i="1"/>
  <c r="T64" i="1"/>
  <c r="S64" i="1"/>
  <c r="R64" i="1"/>
  <c r="V63" i="1"/>
  <c r="U63" i="1"/>
  <c r="T63" i="1"/>
  <c r="S63" i="1"/>
  <c r="R63" i="1"/>
  <c r="V62" i="1"/>
  <c r="U62" i="1"/>
  <c r="T62" i="1"/>
  <c r="S62" i="1"/>
  <c r="R62" i="1"/>
  <c r="V61" i="1"/>
  <c r="U61" i="1"/>
  <c r="T61" i="1"/>
  <c r="S61" i="1"/>
  <c r="R61" i="1"/>
  <c r="U60" i="1"/>
  <c r="T60" i="1"/>
  <c r="S60" i="1"/>
  <c r="V60" i="1"/>
  <c r="R60" i="1"/>
  <c r="V59" i="1"/>
  <c r="U59" i="1"/>
  <c r="T59" i="1"/>
  <c r="S59" i="1"/>
  <c r="R59" i="1"/>
  <c r="V58" i="1"/>
  <c r="U58" i="1"/>
  <c r="T58" i="1"/>
  <c r="S58" i="1"/>
  <c r="R58" i="1"/>
  <c r="U57" i="1"/>
  <c r="T57" i="1"/>
  <c r="S57" i="1"/>
  <c r="V57" i="1"/>
  <c r="R57" i="1"/>
  <c r="V56" i="1"/>
  <c r="U56" i="1"/>
  <c r="T56" i="1"/>
  <c r="S56" i="1"/>
  <c r="R56" i="1"/>
  <c r="V55" i="1"/>
  <c r="U55" i="1"/>
  <c r="T55" i="1"/>
  <c r="S55" i="1"/>
  <c r="R55" i="1"/>
  <c r="V54" i="1"/>
  <c r="U54" i="1"/>
  <c r="T54" i="1"/>
  <c r="S54" i="1"/>
  <c r="R54" i="1"/>
  <c r="U53" i="1"/>
  <c r="T53" i="1"/>
  <c r="S53" i="1"/>
  <c r="V53" i="1"/>
  <c r="R53" i="1"/>
  <c r="V52" i="1"/>
  <c r="U52" i="1"/>
  <c r="T52" i="1"/>
  <c r="S52" i="1"/>
  <c r="R52" i="1"/>
  <c r="V51" i="1"/>
  <c r="U51" i="1"/>
  <c r="T51" i="1"/>
  <c r="S51" i="1"/>
  <c r="R51" i="1"/>
  <c r="V50" i="1"/>
  <c r="U50" i="1"/>
  <c r="T50" i="1"/>
  <c r="S50" i="1"/>
  <c r="R50" i="1"/>
  <c r="V49" i="1"/>
  <c r="U49" i="1"/>
  <c r="T49" i="1"/>
  <c r="S49" i="1"/>
  <c r="R49" i="1"/>
  <c r="V48" i="1"/>
  <c r="U48" i="1"/>
  <c r="T48" i="1"/>
  <c r="S48" i="1"/>
  <c r="R48" i="1"/>
  <c r="V47" i="1"/>
  <c r="U47" i="1"/>
  <c r="T47" i="1"/>
  <c r="S47" i="1"/>
  <c r="R47" i="1"/>
  <c r="V46" i="1"/>
  <c r="U46" i="1"/>
  <c r="T46" i="1"/>
  <c r="S46" i="1"/>
  <c r="R46" i="1"/>
  <c r="V45" i="1"/>
  <c r="U45" i="1"/>
  <c r="T45" i="1"/>
  <c r="S45" i="1"/>
  <c r="R45" i="1"/>
  <c r="V44" i="1"/>
  <c r="U44" i="1"/>
  <c r="T44" i="1"/>
  <c r="S44" i="1"/>
  <c r="R44" i="1"/>
  <c r="U43" i="1"/>
  <c r="T43" i="1"/>
  <c r="S43" i="1"/>
  <c r="V43" i="1"/>
  <c r="R43" i="1"/>
  <c r="V42" i="1"/>
  <c r="U42" i="1"/>
  <c r="T42" i="1"/>
  <c r="S42" i="1"/>
  <c r="R42" i="1"/>
  <c r="V41" i="1"/>
  <c r="U41" i="1"/>
  <c r="T41" i="1"/>
  <c r="S41" i="1"/>
  <c r="R41" i="1"/>
  <c r="V40" i="1"/>
  <c r="U40" i="1"/>
  <c r="T40" i="1"/>
  <c r="S40" i="1"/>
  <c r="R40" i="1"/>
  <c r="V39" i="1"/>
  <c r="U39" i="1"/>
  <c r="T39" i="1"/>
  <c r="S39" i="1"/>
  <c r="R39" i="1"/>
  <c r="V38" i="1"/>
  <c r="U38" i="1"/>
  <c r="T38" i="1"/>
  <c r="S38" i="1"/>
  <c r="R38" i="1"/>
  <c r="V37" i="1"/>
  <c r="U37" i="1"/>
  <c r="T37" i="1"/>
  <c r="S37" i="1"/>
  <c r="R37" i="1"/>
  <c r="V36" i="1"/>
  <c r="U36" i="1"/>
  <c r="T36" i="1"/>
  <c r="S36" i="1"/>
  <c r="R36" i="1"/>
  <c r="V35" i="1"/>
  <c r="U35" i="1"/>
  <c r="T35" i="1"/>
  <c r="S35" i="1"/>
  <c r="R35" i="1"/>
  <c r="V34" i="1"/>
  <c r="U34" i="1"/>
  <c r="T34" i="1"/>
  <c r="S34" i="1"/>
  <c r="R34" i="1"/>
  <c r="V33" i="1"/>
  <c r="U33" i="1"/>
  <c r="T33" i="1"/>
  <c r="S33" i="1"/>
  <c r="R33" i="1"/>
  <c r="V32" i="1"/>
  <c r="U32" i="1"/>
  <c r="T32" i="1"/>
  <c r="S32" i="1"/>
  <c r="R32" i="1"/>
  <c r="V31" i="1"/>
  <c r="U31" i="1"/>
  <c r="T31" i="1"/>
  <c r="S31" i="1"/>
  <c r="R31" i="1"/>
  <c r="V30" i="1"/>
  <c r="U30" i="1"/>
  <c r="T30" i="1"/>
  <c r="S30" i="1"/>
  <c r="R30" i="1"/>
  <c r="V29" i="1"/>
  <c r="U29" i="1"/>
  <c r="T29" i="1"/>
  <c r="S29" i="1"/>
  <c r="R29" i="1"/>
  <c r="V28" i="1"/>
  <c r="U28" i="1"/>
  <c r="T28" i="1"/>
  <c r="S28" i="1"/>
  <c r="R28" i="1"/>
  <c r="V27" i="1"/>
  <c r="U27" i="1"/>
  <c r="T27" i="1"/>
  <c r="S27" i="1"/>
  <c r="R27" i="1"/>
  <c r="V26" i="1"/>
  <c r="U26" i="1"/>
  <c r="T26" i="1"/>
  <c r="S26" i="1"/>
  <c r="R26" i="1"/>
  <c r="V25" i="1"/>
  <c r="U25" i="1"/>
  <c r="T25" i="1"/>
  <c r="S25" i="1"/>
  <c r="R25" i="1"/>
  <c r="V24" i="1"/>
  <c r="U24" i="1"/>
  <c r="T24" i="1"/>
  <c r="S24" i="1"/>
  <c r="R24" i="1"/>
  <c r="V23" i="1"/>
  <c r="U23" i="1"/>
  <c r="T23" i="1"/>
  <c r="S23" i="1"/>
  <c r="R23" i="1"/>
  <c r="U22" i="1"/>
  <c r="T22" i="1"/>
  <c r="S22" i="1"/>
  <c r="V22" i="1"/>
  <c r="R22" i="1"/>
  <c r="V21" i="1"/>
  <c r="U21" i="1"/>
  <c r="T21" i="1"/>
  <c r="S21" i="1"/>
  <c r="R21" i="1"/>
  <c r="V20" i="1"/>
  <c r="U20" i="1"/>
  <c r="T20" i="1"/>
  <c r="S20" i="1"/>
  <c r="R20" i="1"/>
  <c r="V19" i="1"/>
  <c r="U19" i="1"/>
  <c r="T19" i="1"/>
  <c r="S19" i="1"/>
  <c r="R19" i="1"/>
  <c r="V18" i="1"/>
  <c r="U18" i="1"/>
  <c r="T18" i="1"/>
  <c r="S18" i="1"/>
  <c r="R18" i="1"/>
  <c r="V17" i="1"/>
  <c r="U17" i="1"/>
  <c r="T17" i="1"/>
  <c r="S17" i="1"/>
  <c r="R17" i="1"/>
  <c r="V16" i="1"/>
  <c r="U16" i="1"/>
  <c r="T16" i="1"/>
  <c r="S16" i="1"/>
  <c r="R16" i="1"/>
  <c r="V15" i="1"/>
  <c r="U15" i="1"/>
  <c r="T15" i="1"/>
  <c r="S15" i="1"/>
  <c r="R15" i="1"/>
  <c r="V14" i="1"/>
  <c r="U14" i="1"/>
  <c r="T14" i="1"/>
  <c r="S14" i="1"/>
  <c r="R14" i="1"/>
  <c r="V13" i="1"/>
  <c r="U13" i="1"/>
  <c r="T13" i="1"/>
  <c r="S13" i="1"/>
  <c r="R13" i="1"/>
  <c r="V12" i="1"/>
  <c r="U12" i="1"/>
  <c r="T12" i="1"/>
  <c r="S12" i="1"/>
  <c r="R12" i="1"/>
  <c r="V11" i="1"/>
  <c r="U11" i="1"/>
  <c r="T11" i="1"/>
  <c r="S11" i="1"/>
  <c r="R11" i="1"/>
  <c r="U10" i="1"/>
  <c r="T10" i="1"/>
  <c r="S10" i="1"/>
  <c r="V10" i="1"/>
  <c r="R10" i="1"/>
  <c r="V9" i="1"/>
  <c r="U9" i="1"/>
  <c r="T9" i="1"/>
  <c r="S9" i="1"/>
  <c r="R9" i="1"/>
  <c r="V8" i="1"/>
  <c r="U8" i="1"/>
  <c r="T8" i="1"/>
  <c r="S8" i="1"/>
  <c r="R8" i="1"/>
  <c r="V7" i="1"/>
  <c r="U7" i="1"/>
  <c r="T7" i="1"/>
  <c r="S7" i="1"/>
  <c r="R7" i="1"/>
  <c r="V6" i="1"/>
  <c r="U6" i="1"/>
  <c r="T6" i="1"/>
  <c r="S6" i="1"/>
  <c r="R6" i="1"/>
  <c r="U5" i="1"/>
  <c r="T5" i="1"/>
  <c r="S5" i="1"/>
  <c r="V5" i="1"/>
  <c r="R5" i="1"/>
  <c r="X58" i="1" l="1"/>
  <c r="Y58" i="1"/>
  <c r="Z58" i="1"/>
  <c r="AA58" i="1"/>
  <c r="AB58" i="1"/>
  <c r="AC58" i="1" l="1"/>
  <c r="AD58" i="1" s="1"/>
  <c r="A6" i="13" l="1"/>
  <c r="C17" i="5"/>
  <c r="B4" i="10"/>
  <c r="C30" i="12"/>
  <c r="AC153" i="1"/>
  <c r="AB153" i="1"/>
  <c r="AA153" i="1"/>
  <c r="Z153" i="1"/>
  <c r="Y153" i="1"/>
  <c r="X153" i="1"/>
  <c r="AC152" i="1"/>
  <c r="X152" i="1"/>
  <c r="Y152" i="1"/>
  <c r="Z152" i="1"/>
  <c r="AA152" i="1"/>
  <c r="AB152" i="1"/>
  <c r="AC151" i="1"/>
  <c r="AB151" i="1"/>
  <c r="X151" i="1"/>
  <c r="Y151" i="1"/>
  <c r="Z151" i="1"/>
  <c r="AA151" i="1"/>
  <c r="AC150" i="1"/>
  <c r="AB150" i="1"/>
  <c r="AA150" i="1"/>
  <c r="X150" i="1"/>
  <c r="Y150" i="1"/>
  <c r="Z150" i="1"/>
  <c r="X149" i="1"/>
  <c r="Y149" i="1"/>
  <c r="Z149" i="1"/>
  <c r="AA149" i="1"/>
  <c r="AB149" i="1"/>
  <c r="AC149" i="1"/>
  <c r="AC148" i="1"/>
  <c r="AB148" i="1"/>
  <c r="AA148" i="1"/>
  <c r="Z148" i="1"/>
  <c r="Y148" i="1"/>
  <c r="X148" i="1"/>
  <c r="AC147" i="1"/>
  <c r="AB147" i="1"/>
  <c r="AA147" i="1"/>
  <c r="Z147" i="1"/>
  <c r="Y147" i="1"/>
  <c r="X147" i="1"/>
  <c r="AC146" i="1"/>
  <c r="AB146" i="1"/>
  <c r="AA146" i="1"/>
  <c r="Z146" i="1"/>
  <c r="Y146" i="1"/>
  <c r="X146" i="1"/>
  <c r="AC145" i="1"/>
  <c r="AB145" i="1"/>
  <c r="AA145" i="1"/>
  <c r="Z145" i="1"/>
  <c r="Y145" i="1"/>
  <c r="X145" i="1"/>
  <c r="AC144" i="1"/>
  <c r="AB144" i="1"/>
  <c r="AA144" i="1"/>
  <c r="X144" i="1"/>
  <c r="Y144" i="1"/>
  <c r="Z144" i="1"/>
  <c r="X143" i="1"/>
  <c r="Y143" i="1"/>
  <c r="Z143" i="1"/>
  <c r="AA143" i="1"/>
  <c r="AB143" i="1"/>
  <c r="AC143" i="1"/>
  <c r="AC142" i="1"/>
  <c r="AB142" i="1"/>
  <c r="AA142" i="1"/>
  <c r="X142" i="1"/>
  <c r="Y142" i="1"/>
  <c r="Z142" i="1"/>
  <c r="AC141" i="1"/>
  <c r="X141" i="1"/>
  <c r="Y141" i="1"/>
  <c r="Z141" i="1"/>
  <c r="AA141" i="1"/>
  <c r="AB141" i="1"/>
  <c r="AC140" i="1"/>
  <c r="AB140" i="1"/>
  <c r="AA140" i="1"/>
  <c r="Z140" i="1"/>
  <c r="Y140" i="1"/>
  <c r="X140" i="1"/>
  <c r="X139" i="1"/>
  <c r="Y139" i="1"/>
  <c r="Z139" i="1"/>
  <c r="AA139" i="1"/>
  <c r="AB139" i="1"/>
  <c r="AC139" i="1"/>
  <c r="AC138" i="1"/>
  <c r="AB138" i="1"/>
  <c r="AA138" i="1"/>
  <c r="Z138" i="1"/>
  <c r="Y138" i="1"/>
  <c r="X138" i="1"/>
  <c r="AC137" i="1"/>
  <c r="AB137" i="1"/>
  <c r="AA137" i="1"/>
  <c r="Z137" i="1"/>
  <c r="Y137" i="1"/>
  <c r="X137" i="1"/>
  <c r="AC136" i="1"/>
  <c r="AB136" i="1"/>
  <c r="AA136" i="1"/>
  <c r="Z136" i="1"/>
  <c r="Y136" i="1"/>
  <c r="X136" i="1"/>
  <c r="AC135" i="1"/>
  <c r="AB135" i="1"/>
  <c r="AA135" i="1"/>
  <c r="X135" i="1"/>
  <c r="Y135" i="1"/>
  <c r="Z135" i="1"/>
  <c r="AC134" i="1"/>
  <c r="X134" i="1"/>
  <c r="Y134" i="1"/>
  <c r="Z134" i="1"/>
  <c r="AA134" i="1"/>
  <c r="AB134" i="1"/>
  <c r="AC133" i="1"/>
  <c r="AB133" i="1"/>
  <c r="AA133" i="1"/>
  <c r="Z133" i="1"/>
  <c r="Y133" i="1"/>
  <c r="X133" i="1"/>
  <c r="AC132" i="1"/>
  <c r="X132" i="1"/>
  <c r="Z132" i="1"/>
  <c r="AA132" i="1"/>
  <c r="AB132" i="1"/>
  <c r="AC131" i="1"/>
  <c r="AB131" i="1"/>
  <c r="AA131" i="1"/>
  <c r="Z131" i="1"/>
  <c r="Y131" i="1"/>
  <c r="X131" i="1"/>
  <c r="X130" i="1"/>
  <c r="Y130" i="1"/>
  <c r="Z130" i="1"/>
  <c r="AA130" i="1"/>
  <c r="AB130" i="1"/>
  <c r="AC130" i="1"/>
  <c r="AC129" i="1"/>
  <c r="AB129" i="1"/>
  <c r="AA129" i="1"/>
  <c r="Z129" i="1"/>
  <c r="Y129" i="1"/>
  <c r="X129" i="1"/>
  <c r="X128" i="1"/>
  <c r="Y128" i="1"/>
  <c r="Z128" i="1"/>
  <c r="AA128" i="1"/>
  <c r="AB128" i="1"/>
  <c r="AC128" i="1"/>
  <c r="AC127" i="1"/>
  <c r="AB127" i="1"/>
  <c r="AA127" i="1"/>
  <c r="Z127" i="1"/>
  <c r="Y127" i="1"/>
  <c r="X127" i="1"/>
  <c r="AC126" i="1"/>
  <c r="AB126" i="1"/>
  <c r="AA126" i="1"/>
  <c r="Z126" i="1"/>
  <c r="Y126" i="1"/>
  <c r="X126" i="1"/>
  <c r="AC125" i="1"/>
  <c r="AB125" i="1"/>
  <c r="AA125" i="1"/>
  <c r="Z125" i="1"/>
  <c r="Y125" i="1"/>
  <c r="X125" i="1"/>
  <c r="AC124" i="1"/>
  <c r="AB124" i="1"/>
  <c r="AA124" i="1"/>
  <c r="X124" i="1"/>
  <c r="Y124" i="1"/>
  <c r="Z124" i="1"/>
  <c r="AC123" i="1"/>
  <c r="X123" i="1"/>
  <c r="Y123" i="1"/>
  <c r="Z123" i="1"/>
  <c r="AA123" i="1"/>
  <c r="AB123" i="1"/>
  <c r="AC122" i="1"/>
  <c r="AB122" i="1"/>
  <c r="AA122" i="1"/>
  <c r="Z122" i="1"/>
  <c r="Y122" i="1"/>
  <c r="X122" i="1"/>
  <c r="AC121" i="1"/>
  <c r="X121" i="1"/>
  <c r="Y121" i="1"/>
  <c r="Z121" i="1"/>
  <c r="AA121" i="1"/>
  <c r="AB121" i="1"/>
  <c r="AC120" i="1"/>
  <c r="AB120" i="1"/>
  <c r="AA120" i="1"/>
  <c r="Z120" i="1"/>
  <c r="Y120" i="1"/>
  <c r="X120" i="1"/>
  <c r="X119" i="1"/>
  <c r="Y119" i="1"/>
  <c r="Z119" i="1"/>
  <c r="AA119" i="1"/>
  <c r="AB119" i="1"/>
  <c r="AC119" i="1"/>
  <c r="AC118" i="1"/>
  <c r="AB118" i="1"/>
  <c r="AA118" i="1"/>
  <c r="Z118" i="1"/>
  <c r="Y118" i="1"/>
  <c r="X118" i="1"/>
  <c r="AC117" i="1"/>
  <c r="AB117" i="1"/>
  <c r="AA117" i="1"/>
  <c r="Z117" i="1"/>
  <c r="Y117" i="1"/>
  <c r="X117" i="1"/>
  <c r="AC116" i="1"/>
  <c r="AB116" i="1"/>
  <c r="AA116" i="1"/>
  <c r="Z116" i="1"/>
  <c r="Y116" i="1"/>
  <c r="X116" i="1"/>
  <c r="AC115" i="1"/>
  <c r="AB115" i="1"/>
  <c r="AA115" i="1"/>
  <c r="X115" i="1"/>
  <c r="Y115" i="1"/>
  <c r="Z115" i="1"/>
  <c r="AC114" i="1"/>
  <c r="X114" i="1"/>
  <c r="Y114" i="1"/>
  <c r="Z114" i="1"/>
  <c r="AA114" i="1"/>
  <c r="AB114" i="1"/>
  <c r="AC113" i="1"/>
  <c r="AB113" i="1"/>
  <c r="AA113" i="1"/>
  <c r="Z113" i="1"/>
  <c r="Y113" i="1"/>
  <c r="X113" i="1"/>
  <c r="AC112" i="1"/>
  <c r="X112" i="1"/>
  <c r="Y112" i="1"/>
  <c r="Z112" i="1"/>
  <c r="AA112" i="1"/>
  <c r="AB112" i="1"/>
  <c r="AC111" i="1"/>
  <c r="AB111" i="1"/>
  <c r="AA111" i="1"/>
  <c r="Z111" i="1"/>
  <c r="Y111" i="1"/>
  <c r="X111" i="1"/>
  <c r="X110" i="1"/>
  <c r="Y110" i="1"/>
  <c r="Z110" i="1"/>
  <c r="AA110" i="1"/>
  <c r="AB110" i="1"/>
  <c r="AC110" i="1"/>
  <c r="AC109" i="1"/>
  <c r="AB109" i="1"/>
  <c r="AA109" i="1"/>
  <c r="Z109" i="1"/>
  <c r="Y109" i="1"/>
  <c r="X109" i="1"/>
  <c r="AC108" i="1"/>
  <c r="AB108" i="1"/>
  <c r="AA108" i="1"/>
  <c r="Z108" i="1"/>
  <c r="Y108" i="1"/>
  <c r="X108" i="1"/>
  <c r="AC107" i="1"/>
  <c r="AB107" i="1"/>
  <c r="AA107" i="1"/>
  <c r="X107" i="1"/>
  <c r="Y107" i="1"/>
  <c r="Z107" i="1"/>
  <c r="AC106" i="1"/>
  <c r="X106" i="1"/>
  <c r="Y106" i="1"/>
  <c r="Z106" i="1"/>
  <c r="AA106" i="1"/>
  <c r="AB106" i="1"/>
  <c r="AC105" i="1"/>
  <c r="AB105" i="1"/>
  <c r="AA105" i="1"/>
  <c r="Z105" i="1"/>
  <c r="Y105" i="1"/>
  <c r="X105" i="1"/>
  <c r="AC104" i="1"/>
  <c r="X104" i="1"/>
  <c r="Y104" i="1"/>
  <c r="Z104" i="1"/>
  <c r="AA104" i="1"/>
  <c r="AB104" i="1"/>
  <c r="AC103" i="1"/>
  <c r="AB103" i="1"/>
  <c r="AA103" i="1"/>
  <c r="X103" i="1"/>
  <c r="Y103" i="1"/>
  <c r="Z103" i="1"/>
  <c r="AC102" i="1"/>
  <c r="AB102" i="1"/>
  <c r="AA102" i="1"/>
  <c r="X102" i="1"/>
  <c r="Y102" i="1"/>
  <c r="Z102" i="1"/>
  <c r="AC101" i="1"/>
  <c r="X101" i="1"/>
  <c r="Y101" i="1"/>
  <c r="Z101" i="1"/>
  <c r="AA101" i="1"/>
  <c r="AB101" i="1"/>
  <c r="AC100" i="1"/>
  <c r="AB100" i="1"/>
  <c r="AA100" i="1"/>
  <c r="Z100" i="1"/>
  <c r="Y100" i="1"/>
  <c r="X100" i="1"/>
  <c r="AC99" i="1"/>
  <c r="X99" i="1"/>
  <c r="Y99" i="1"/>
  <c r="Z99" i="1"/>
  <c r="AA99" i="1"/>
  <c r="AB99" i="1"/>
  <c r="AC98" i="1"/>
  <c r="AB98" i="1"/>
  <c r="AA98" i="1"/>
  <c r="X98" i="1"/>
  <c r="Y98" i="1"/>
  <c r="Z98" i="1"/>
  <c r="AC97" i="1"/>
  <c r="X97" i="1"/>
  <c r="Y97" i="1"/>
  <c r="Z97" i="1"/>
  <c r="AA97" i="1"/>
  <c r="AB97" i="1"/>
  <c r="AC96" i="1"/>
  <c r="AB96" i="1"/>
  <c r="AA96" i="1"/>
  <c r="Z96" i="1"/>
  <c r="Y96" i="1"/>
  <c r="X96" i="1"/>
  <c r="AC95" i="1"/>
  <c r="AB95" i="1"/>
  <c r="AA95" i="1"/>
  <c r="X95" i="1"/>
  <c r="Y95" i="1"/>
  <c r="Z95" i="1"/>
  <c r="X94" i="1"/>
  <c r="Y94" i="1"/>
  <c r="Z94" i="1"/>
  <c r="AA94" i="1"/>
  <c r="AB94" i="1"/>
  <c r="AC94" i="1"/>
  <c r="AC93" i="1"/>
  <c r="AB93" i="1"/>
  <c r="AA93" i="1"/>
  <c r="Z93" i="1"/>
  <c r="Y93" i="1"/>
  <c r="X93" i="1"/>
  <c r="AC92" i="1"/>
  <c r="X92" i="1"/>
  <c r="Y92" i="1"/>
  <c r="Z92" i="1"/>
  <c r="AA92" i="1"/>
  <c r="AB92" i="1"/>
  <c r="AC91" i="1"/>
  <c r="AB91" i="1"/>
  <c r="AA91" i="1"/>
  <c r="Z91" i="1"/>
  <c r="Y91" i="1"/>
  <c r="X91" i="1"/>
  <c r="AC90" i="1"/>
  <c r="AB90" i="1"/>
  <c r="AA90" i="1"/>
  <c r="X90" i="1"/>
  <c r="Y90" i="1"/>
  <c r="Z90" i="1"/>
  <c r="AC89" i="1"/>
  <c r="AB89" i="1"/>
  <c r="AA89" i="1"/>
  <c r="X89" i="1"/>
  <c r="Y89" i="1"/>
  <c r="Z89" i="1"/>
  <c r="X88" i="1"/>
  <c r="Y88" i="1"/>
  <c r="Z88" i="1"/>
  <c r="AA88" i="1"/>
  <c r="AB88" i="1"/>
  <c r="AC88" i="1"/>
  <c r="AC87" i="1"/>
  <c r="AB87" i="1"/>
  <c r="AA87" i="1"/>
  <c r="Z87" i="1"/>
  <c r="Y87" i="1"/>
  <c r="X87" i="1"/>
  <c r="AC86" i="1"/>
  <c r="X86" i="1"/>
  <c r="Y86" i="1"/>
  <c r="Z86" i="1"/>
  <c r="AA86" i="1"/>
  <c r="AB86" i="1"/>
  <c r="AC85" i="1"/>
  <c r="AB85" i="1"/>
  <c r="X85" i="1"/>
  <c r="Y85" i="1"/>
  <c r="Z85" i="1"/>
  <c r="AA85" i="1"/>
  <c r="AC84" i="1"/>
  <c r="AB84" i="1"/>
  <c r="AA84" i="1"/>
  <c r="X84" i="1"/>
  <c r="Y84" i="1"/>
  <c r="Z84" i="1"/>
  <c r="AC83" i="1"/>
  <c r="AB83" i="1"/>
  <c r="AA83" i="1"/>
  <c r="Z83" i="1"/>
  <c r="Y83" i="1"/>
  <c r="X83" i="1"/>
  <c r="AC82" i="1"/>
  <c r="AB82" i="1"/>
  <c r="AA82" i="1"/>
  <c r="Z82" i="1"/>
  <c r="Y82" i="1"/>
  <c r="X82" i="1"/>
  <c r="AC81" i="1"/>
  <c r="AB81" i="1"/>
  <c r="AA81" i="1"/>
  <c r="X81" i="1"/>
  <c r="Y81" i="1"/>
  <c r="Z81" i="1"/>
  <c r="X80" i="1"/>
  <c r="Y80" i="1"/>
  <c r="Z80" i="1"/>
  <c r="AA80" i="1"/>
  <c r="AB80" i="1"/>
  <c r="AC80" i="1"/>
  <c r="AC79" i="1"/>
  <c r="AB79" i="1"/>
  <c r="AA79" i="1"/>
  <c r="Z79" i="1"/>
  <c r="Y79" i="1"/>
  <c r="X79" i="1"/>
  <c r="AC78" i="1"/>
  <c r="AB78" i="1"/>
  <c r="AA78" i="1"/>
  <c r="Z78" i="1"/>
  <c r="Y78" i="1"/>
  <c r="X78" i="1"/>
  <c r="AC77" i="1"/>
  <c r="X77" i="1"/>
  <c r="Y77" i="1"/>
  <c r="Z77" i="1"/>
  <c r="AA77" i="1"/>
  <c r="AB77" i="1"/>
  <c r="AC76" i="1"/>
  <c r="AB76" i="1"/>
  <c r="AA76" i="1"/>
  <c r="X76" i="1"/>
  <c r="Y76" i="1"/>
  <c r="Z76" i="1"/>
  <c r="AC75" i="1"/>
  <c r="AB75" i="1"/>
  <c r="AA75" i="1"/>
  <c r="Z75" i="1"/>
  <c r="Y75" i="1"/>
  <c r="X75" i="1"/>
  <c r="AC74" i="1"/>
  <c r="AB74" i="1"/>
  <c r="AA74" i="1"/>
  <c r="Z74" i="1"/>
  <c r="Y74" i="1"/>
  <c r="X74" i="1"/>
  <c r="AC73" i="1"/>
  <c r="AB73" i="1"/>
  <c r="AA73" i="1"/>
  <c r="X73" i="1"/>
  <c r="Y73" i="1"/>
  <c r="Z73" i="1"/>
  <c r="AC72" i="1"/>
  <c r="AB72" i="1"/>
  <c r="AA72" i="1"/>
  <c r="X72" i="1"/>
  <c r="Y72" i="1"/>
  <c r="Z72" i="1"/>
  <c r="AC71" i="1"/>
  <c r="X71" i="1"/>
  <c r="Y71" i="1"/>
  <c r="Z71" i="1"/>
  <c r="AA71" i="1"/>
  <c r="AB71" i="1"/>
  <c r="AC70" i="1"/>
  <c r="AB70" i="1"/>
  <c r="AA70" i="1"/>
  <c r="Z70" i="1"/>
  <c r="Y70" i="1"/>
  <c r="X70" i="1"/>
  <c r="X69" i="1"/>
  <c r="Y69" i="1"/>
  <c r="Z69" i="1"/>
  <c r="AA69" i="1"/>
  <c r="AB69" i="1"/>
  <c r="AC69" i="1"/>
  <c r="AC68" i="1"/>
  <c r="AB68" i="1"/>
  <c r="AA68" i="1"/>
  <c r="X68" i="1"/>
  <c r="Y68" i="1"/>
  <c r="Z68" i="1"/>
  <c r="AC67" i="1"/>
  <c r="AB67" i="1"/>
  <c r="AA67" i="1"/>
  <c r="Z67" i="1"/>
  <c r="Y67" i="1"/>
  <c r="X67" i="1"/>
  <c r="AC66" i="1"/>
  <c r="X66" i="1"/>
  <c r="Y66" i="1"/>
  <c r="Z66" i="1"/>
  <c r="AA66" i="1"/>
  <c r="AB66" i="1"/>
  <c r="AC65" i="1"/>
  <c r="AB65" i="1"/>
  <c r="AA65" i="1"/>
  <c r="X65" i="1"/>
  <c r="Y65" i="1"/>
  <c r="Z65" i="1"/>
  <c r="AC64" i="1"/>
  <c r="AB64" i="1"/>
  <c r="AA64" i="1"/>
  <c r="X64" i="1"/>
  <c r="Y64" i="1"/>
  <c r="Z64" i="1"/>
  <c r="AC63" i="1"/>
  <c r="X63" i="1"/>
  <c r="Y63" i="1"/>
  <c r="Z63" i="1"/>
  <c r="AA63" i="1"/>
  <c r="AB63" i="1"/>
  <c r="AC62" i="1"/>
  <c r="AB62" i="1"/>
  <c r="AA62" i="1"/>
  <c r="Z62" i="1"/>
  <c r="Y62" i="1"/>
  <c r="X62" i="1"/>
  <c r="X61" i="1"/>
  <c r="Y61" i="1"/>
  <c r="Z61" i="1"/>
  <c r="AA61" i="1"/>
  <c r="AB61" i="1"/>
  <c r="AC61" i="1"/>
  <c r="AC60" i="1"/>
  <c r="AB60" i="1"/>
  <c r="AA60" i="1"/>
  <c r="X60" i="1"/>
  <c r="Y60" i="1"/>
  <c r="Z60" i="1"/>
  <c r="AC59" i="1"/>
  <c r="AB59" i="1"/>
  <c r="X59" i="1"/>
  <c r="Y59" i="1"/>
  <c r="Z59" i="1"/>
  <c r="AA59" i="1"/>
  <c r="AC57" i="1"/>
  <c r="X57" i="1"/>
  <c r="Y57" i="1"/>
  <c r="Z57" i="1"/>
  <c r="AA57" i="1"/>
  <c r="AB57" i="1"/>
  <c r="AC56" i="1"/>
  <c r="AB56" i="1"/>
  <c r="AA56" i="1"/>
  <c r="X56" i="1"/>
  <c r="Y56" i="1"/>
  <c r="Z56" i="1"/>
  <c r="X55" i="1"/>
  <c r="Y55" i="1"/>
  <c r="Z55" i="1"/>
  <c r="AA55" i="1"/>
  <c r="AB55" i="1"/>
  <c r="AC55" i="1"/>
  <c r="AC54" i="1"/>
  <c r="AB54" i="1"/>
  <c r="AA54" i="1"/>
  <c r="Z54" i="1"/>
  <c r="Y54" i="1"/>
  <c r="X54" i="1"/>
  <c r="AC53" i="1"/>
  <c r="AB53" i="1"/>
  <c r="AA53" i="1"/>
  <c r="X53" i="1"/>
  <c r="Y53" i="1"/>
  <c r="Z53" i="1"/>
  <c r="AC52" i="1"/>
  <c r="X52" i="1"/>
  <c r="Y52" i="1"/>
  <c r="Z52" i="1"/>
  <c r="AA52" i="1"/>
  <c r="AB52" i="1"/>
  <c r="AC51" i="1"/>
  <c r="AB51" i="1"/>
  <c r="AA51" i="1"/>
  <c r="X51" i="1"/>
  <c r="Y51" i="1"/>
  <c r="Z51" i="1"/>
  <c r="AC50" i="1"/>
  <c r="X50" i="1"/>
  <c r="Y50" i="1"/>
  <c r="Z50" i="1"/>
  <c r="AA50" i="1"/>
  <c r="AB50" i="1"/>
  <c r="AC49" i="1"/>
  <c r="AB49" i="1"/>
  <c r="X49" i="1"/>
  <c r="Y49" i="1"/>
  <c r="Z49" i="1"/>
  <c r="AA49" i="1"/>
  <c r="AC48" i="1"/>
  <c r="AB48" i="1"/>
  <c r="AA48" i="1"/>
  <c r="Z48" i="1"/>
  <c r="Y48" i="1"/>
  <c r="X48" i="1"/>
  <c r="X47" i="1"/>
  <c r="Y47" i="1"/>
  <c r="Z47" i="1"/>
  <c r="AA47" i="1"/>
  <c r="AB47" i="1"/>
  <c r="AC47" i="1"/>
  <c r="AC46" i="1"/>
  <c r="AB46" i="1"/>
  <c r="AA46" i="1"/>
  <c r="Z46" i="1"/>
  <c r="Y46" i="1"/>
  <c r="X46" i="1"/>
  <c r="AC45" i="1"/>
  <c r="AB45" i="1"/>
  <c r="AA45" i="1"/>
  <c r="X45" i="1"/>
  <c r="Y45" i="1"/>
  <c r="Z45" i="1"/>
  <c r="AC44" i="1"/>
  <c r="X44" i="1"/>
  <c r="Y44" i="1"/>
  <c r="Z44" i="1"/>
  <c r="AA44" i="1"/>
  <c r="AB44" i="1"/>
  <c r="AC43" i="1"/>
  <c r="AB43" i="1"/>
  <c r="AA43" i="1"/>
  <c r="Z43" i="1"/>
  <c r="Y43" i="1"/>
  <c r="X43" i="1"/>
  <c r="X42" i="1"/>
  <c r="Y42" i="1"/>
  <c r="Z42" i="1"/>
  <c r="AA42" i="1"/>
  <c r="AB42" i="1"/>
  <c r="AC42" i="1"/>
  <c r="AC41" i="1"/>
  <c r="AB41" i="1"/>
  <c r="AA41" i="1"/>
  <c r="Z41" i="1"/>
  <c r="Y41" i="1"/>
  <c r="X41" i="1"/>
  <c r="AC40" i="1"/>
  <c r="AB40" i="1"/>
  <c r="AA40" i="1"/>
  <c r="X40" i="1"/>
  <c r="Y40" i="1"/>
  <c r="Z40" i="1"/>
  <c r="AC39" i="1"/>
  <c r="X39" i="1"/>
  <c r="Y39" i="1"/>
  <c r="Z39" i="1"/>
  <c r="AA39" i="1"/>
  <c r="AB39" i="1"/>
  <c r="AC38" i="1"/>
  <c r="AB38" i="1"/>
  <c r="AA38" i="1"/>
  <c r="X38" i="1"/>
  <c r="Y38" i="1"/>
  <c r="Z38" i="1"/>
  <c r="AC37" i="1"/>
  <c r="AB37" i="1"/>
  <c r="AA37" i="1"/>
  <c r="Z37" i="1"/>
  <c r="Y37" i="1"/>
  <c r="X37" i="1"/>
  <c r="AC36" i="1"/>
  <c r="AB36" i="1"/>
  <c r="AA36" i="1"/>
  <c r="X36" i="1"/>
  <c r="Y36" i="1"/>
  <c r="Z36" i="1"/>
  <c r="AC35" i="1"/>
  <c r="AB35" i="1"/>
  <c r="AA35" i="1"/>
  <c r="Z35" i="1"/>
  <c r="Y35" i="1"/>
  <c r="X35" i="1"/>
  <c r="X34" i="1"/>
  <c r="Y34" i="1"/>
  <c r="Z34" i="1"/>
  <c r="AA34" i="1"/>
  <c r="AB34" i="1"/>
  <c r="AC34" i="1"/>
  <c r="AC33" i="1"/>
  <c r="AB33" i="1"/>
  <c r="AA33" i="1"/>
  <c r="Z33" i="1"/>
  <c r="Y33" i="1"/>
  <c r="X33" i="1"/>
  <c r="AC32" i="1"/>
  <c r="AB32" i="1"/>
  <c r="AA32" i="1"/>
  <c r="X32" i="1"/>
  <c r="Y32" i="1"/>
  <c r="Z32" i="1"/>
  <c r="AC31" i="1"/>
  <c r="X31" i="1"/>
  <c r="Y31" i="1"/>
  <c r="Z31" i="1"/>
  <c r="AA31" i="1"/>
  <c r="AB31" i="1"/>
  <c r="AC30" i="1"/>
  <c r="AB30" i="1"/>
  <c r="X30" i="1"/>
  <c r="Y30" i="1"/>
  <c r="Z30" i="1"/>
  <c r="AA30" i="1"/>
  <c r="AC29" i="1"/>
  <c r="AB29" i="1"/>
  <c r="AA29" i="1"/>
  <c r="Z29" i="1"/>
  <c r="Y29" i="1"/>
  <c r="X29" i="1"/>
  <c r="AC28" i="1"/>
  <c r="AB28" i="1"/>
  <c r="AA28" i="1"/>
  <c r="X28" i="1"/>
  <c r="Y28" i="1"/>
  <c r="Z28" i="1"/>
  <c r="AC27" i="1"/>
  <c r="AB27" i="1"/>
  <c r="AA27" i="1"/>
  <c r="Z27" i="1"/>
  <c r="Y27" i="1"/>
  <c r="X27" i="1"/>
  <c r="X26" i="1"/>
  <c r="Y26" i="1"/>
  <c r="Z26" i="1"/>
  <c r="AA26" i="1"/>
  <c r="AB26" i="1"/>
  <c r="AC26" i="1"/>
  <c r="AC25" i="1"/>
  <c r="AB25" i="1"/>
  <c r="AA25" i="1"/>
  <c r="Z25" i="1"/>
  <c r="Y25" i="1"/>
  <c r="X25" i="1"/>
  <c r="AC24" i="1"/>
  <c r="AB24" i="1"/>
  <c r="AA24" i="1"/>
  <c r="X24" i="1"/>
  <c r="Y24" i="1"/>
  <c r="Z24" i="1"/>
  <c r="AC23" i="1"/>
  <c r="X23" i="1"/>
  <c r="Y23" i="1"/>
  <c r="Z23" i="1"/>
  <c r="AA23" i="1"/>
  <c r="AB23" i="1"/>
  <c r="AC22" i="1"/>
  <c r="AB22" i="1"/>
  <c r="AA22" i="1"/>
  <c r="X22" i="1"/>
  <c r="Y22" i="1"/>
  <c r="Z22" i="1"/>
  <c r="AC21" i="1"/>
  <c r="X21" i="1"/>
  <c r="Y21" i="1"/>
  <c r="Z21" i="1"/>
  <c r="AA21" i="1"/>
  <c r="AB21" i="1"/>
  <c r="AC20" i="1"/>
  <c r="AB20" i="1"/>
  <c r="AA20" i="1"/>
  <c r="X20" i="1"/>
  <c r="Y20" i="1"/>
  <c r="Z20" i="1"/>
  <c r="AC19" i="1"/>
  <c r="AB19" i="1"/>
  <c r="AA19" i="1"/>
  <c r="Z19" i="1"/>
  <c r="Y19" i="1"/>
  <c r="X19" i="1"/>
  <c r="X18" i="1"/>
  <c r="Y18" i="1"/>
  <c r="Z18" i="1"/>
  <c r="AA18" i="1"/>
  <c r="AB18" i="1"/>
  <c r="AC18" i="1"/>
  <c r="AC17" i="1"/>
  <c r="AB17" i="1"/>
  <c r="AA17" i="1"/>
  <c r="Z17" i="1"/>
  <c r="Y17" i="1"/>
  <c r="X17" i="1"/>
  <c r="AC16" i="1"/>
  <c r="AB16" i="1"/>
  <c r="AA16" i="1"/>
  <c r="X16" i="1"/>
  <c r="Y16" i="1"/>
  <c r="Z16" i="1"/>
  <c r="AC15" i="1"/>
  <c r="X15" i="1"/>
  <c r="Y15" i="1"/>
  <c r="Z15" i="1"/>
  <c r="AA15" i="1"/>
  <c r="AB15" i="1"/>
  <c r="AC14" i="1"/>
  <c r="AB14" i="1"/>
  <c r="AA14" i="1"/>
  <c r="X14" i="1"/>
  <c r="Y14" i="1"/>
  <c r="Z14" i="1"/>
  <c r="AC13" i="1"/>
  <c r="X13" i="1"/>
  <c r="Y13" i="1"/>
  <c r="Z13" i="1"/>
  <c r="AA13" i="1"/>
  <c r="AB13" i="1"/>
  <c r="AC12" i="1"/>
  <c r="AB12" i="1"/>
  <c r="X12" i="1"/>
  <c r="Y12" i="1"/>
  <c r="Z12" i="1"/>
  <c r="AA12" i="1"/>
  <c r="AC11" i="1"/>
  <c r="AB11" i="1"/>
  <c r="AA11" i="1"/>
  <c r="Z11" i="1"/>
  <c r="Y11" i="1"/>
  <c r="X11" i="1"/>
  <c r="X10" i="1"/>
  <c r="Y10" i="1"/>
  <c r="Z10" i="1"/>
  <c r="AA10" i="1"/>
  <c r="AB10" i="1"/>
  <c r="AC10" i="1"/>
  <c r="AC9" i="1"/>
  <c r="AB9" i="1"/>
  <c r="AA9" i="1"/>
  <c r="Z9" i="1"/>
  <c r="Y9" i="1"/>
  <c r="X9" i="1"/>
  <c r="AC8" i="1"/>
  <c r="X8" i="1"/>
  <c r="Y8" i="1"/>
  <c r="Z8" i="1"/>
  <c r="AA8" i="1"/>
  <c r="AB8" i="1"/>
  <c r="AC7" i="1"/>
  <c r="AB7" i="1"/>
  <c r="AA7" i="1"/>
  <c r="Z7" i="1"/>
  <c r="Y7" i="1"/>
  <c r="X7" i="1"/>
  <c r="AC6" i="1"/>
  <c r="AB6" i="1"/>
  <c r="AA6" i="1"/>
  <c r="X6" i="1"/>
  <c r="Y6" i="1"/>
  <c r="Z6" i="1"/>
  <c r="AC5" i="1"/>
  <c r="X5" i="1"/>
  <c r="Y5" i="1"/>
  <c r="Z5" i="1"/>
  <c r="AA5" i="1"/>
  <c r="AB5" i="1"/>
  <c r="AD17" i="1" l="1"/>
  <c r="AD16" i="1"/>
  <c r="AD62" i="1"/>
  <c r="AD149" i="1"/>
  <c r="AD28" i="1"/>
  <c r="AD29" i="1"/>
  <c r="AD30" i="1"/>
  <c r="AD40" i="1"/>
  <c r="AD59" i="1"/>
  <c r="AD129" i="1"/>
  <c r="AD135" i="1"/>
  <c r="AD137" i="1"/>
  <c r="AD121" i="1"/>
  <c r="AD112" i="1"/>
  <c r="AD105" i="1"/>
  <c r="AD103" i="1"/>
  <c r="AD88" i="1"/>
  <c r="AD46" i="1"/>
  <c r="AD38" i="1"/>
  <c r="AD31" i="1"/>
  <c r="AD27" i="1"/>
  <c r="AD22" i="1"/>
  <c r="AD116" i="1"/>
  <c r="AD122" i="1"/>
  <c r="AD78" i="1"/>
  <c r="AD92" i="1"/>
  <c r="AD111" i="1"/>
  <c r="AD147" i="1"/>
  <c r="AD148" i="1"/>
  <c r="AD91" i="1"/>
  <c r="AD97" i="1"/>
  <c r="AD99" i="1"/>
  <c r="AD106" i="1"/>
  <c r="AD109" i="1"/>
  <c r="AD115" i="1"/>
  <c r="AD117" i="1"/>
  <c r="AD125" i="1"/>
  <c r="AD127" i="1"/>
  <c r="AD145" i="1"/>
  <c r="AD124" i="1"/>
  <c r="AD98" i="1"/>
  <c r="AD123" i="1"/>
  <c r="AD143" i="1"/>
  <c r="AD144" i="1"/>
  <c r="AD79" i="1"/>
  <c r="AD82" i="1"/>
  <c r="AD85" i="1"/>
  <c r="AD93" i="1"/>
  <c r="AD95" i="1"/>
  <c r="AD151" i="1"/>
  <c r="AD26" i="1"/>
  <c r="AD36" i="1"/>
  <c r="AD37" i="1"/>
  <c r="AD39" i="1"/>
  <c r="AD42" i="1"/>
  <c r="AD52" i="1"/>
  <c r="AD57" i="1"/>
  <c r="AD68" i="1"/>
  <c r="AD21" i="1"/>
  <c r="AD24" i="1"/>
  <c r="AD25" i="1"/>
  <c r="AD34" i="1"/>
  <c r="AD35" i="1"/>
  <c r="AD55" i="1"/>
  <c r="AD23" i="1"/>
  <c r="AD32" i="1"/>
  <c r="AD33" i="1"/>
  <c r="AD41" i="1"/>
  <c r="AD63" i="1"/>
  <c r="AD65" i="1"/>
  <c r="AD71" i="1"/>
  <c r="AD74" i="1"/>
  <c r="AD20" i="1"/>
  <c r="AD19" i="1"/>
  <c r="AD18" i="1"/>
  <c r="AD15" i="1"/>
  <c r="AD14" i="1"/>
  <c r="AD13" i="1"/>
  <c r="AD12" i="1"/>
  <c r="AD11" i="1"/>
  <c r="AD10" i="1"/>
  <c r="AD9" i="1"/>
  <c r="AD8" i="1"/>
  <c r="AD7" i="1"/>
  <c r="AD6" i="1"/>
  <c r="AD5" i="1"/>
  <c r="AD153" i="1"/>
  <c r="AD146" i="1"/>
  <c r="AD132" i="1"/>
  <c r="AD141" i="1"/>
  <c r="AD133" i="1"/>
  <c r="AD131" i="1"/>
  <c r="AD113" i="1"/>
  <c r="AD104" i="1"/>
  <c r="AD101" i="1"/>
  <c r="AD86" i="1"/>
  <c r="AD83" i="1"/>
  <c r="AD81" i="1"/>
  <c r="AD75" i="1"/>
  <c r="AD73" i="1"/>
  <c r="AD64" i="1"/>
  <c r="AD60" i="1"/>
  <c r="AD54" i="1"/>
  <c r="AD53" i="1"/>
  <c r="AD48" i="1"/>
  <c r="AD47" i="1"/>
  <c r="AD44" i="1"/>
  <c r="AD50" i="1"/>
  <c r="AD45" i="1"/>
  <c r="AD51" i="1"/>
  <c r="AD43" i="1"/>
  <c r="AD49" i="1"/>
  <c r="AD56" i="1"/>
  <c r="AD61" i="1"/>
  <c r="AD80" i="1"/>
  <c r="AD90" i="1"/>
  <c r="AD139" i="1"/>
  <c r="AD128" i="1"/>
  <c r="AD102" i="1"/>
  <c r="AD107" i="1"/>
  <c r="AD119" i="1"/>
  <c r="AD120" i="1"/>
  <c r="AD140" i="1"/>
  <c r="AD150" i="1"/>
  <c r="AD69" i="1"/>
  <c r="AD70" i="1"/>
  <c r="AD77" i="1"/>
  <c r="AD87" i="1"/>
  <c r="AD89" i="1"/>
  <c r="AD96" i="1"/>
  <c r="AD118" i="1"/>
  <c r="AD136" i="1"/>
  <c r="AD138" i="1"/>
  <c r="AD66" i="1"/>
  <c r="AD67" i="1"/>
  <c r="AD72" i="1"/>
  <c r="AD76" i="1"/>
  <c r="AD84" i="1"/>
  <c r="AD94" i="1"/>
  <c r="AD100" i="1"/>
  <c r="AD108" i="1"/>
  <c r="AD110" i="1"/>
  <c r="AD114" i="1"/>
  <c r="AD126" i="1"/>
  <c r="AD130" i="1"/>
  <c r="AD134" i="1"/>
  <c r="AD142" i="1"/>
  <c r="AD152" i="1"/>
  <c r="AE43" i="1" l="1"/>
  <c r="D7" i="13" s="1"/>
  <c r="E7" i="13" s="1"/>
  <c r="AE143" i="1"/>
  <c r="D16" i="13" s="1"/>
  <c r="E16" i="13" s="1"/>
  <c r="AE128" i="1"/>
  <c r="AE102" i="1"/>
  <c r="D11" i="13" s="1"/>
  <c r="E11" i="13" s="1"/>
  <c r="AE91" i="1"/>
  <c r="D10" i="13" s="1"/>
  <c r="E10" i="13" s="1"/>
  <c r="AE112" i="1"/>
  <c r="D12" i="13" s="1"/>
  <c r="E12" i="13" s="1"/>
  <c r="AE60" i="1"/>
  <c r="D8" i="13" s="1"/>
  <c r="E8" i="13" s="1"/>
  <c r="AE89" i="1"/>
  <c r="D9" i="13" s="1"/>
  <c r="E9" i="13" s="1"/>
  <c r="AE5" i="1"/>
  <c r="D6" i="13" s="1"/>
  <c r="E6" i="13" s="1"/>
  <c r="AE131" i="1"/>
  <c r="D15" i="13" s="1"/>
  <c r="E15" i="13" s="1"/>
  <c r="AE122" i="1"/>
  <c r="D13" i="13" s="1"/>
  <c r="E13" i="13" s="1"/>
  <c r="AE149" i="1"/>
  <c r="D17" i="13" s="1"/>
  <c r="E17" i="13" s="1"/>
  <c r="D14" i="13"/>
  <c r="E14" i="13" s="1"/>
  <c r="AE154" i="1" l="1"/>
  <c r="A4" i="10" s="1"/>
</calcChain>
</file>

<file path=xl/sharedStrings.xml><?xml version="1.0" encoding="utf-8"?>
<sst xmlns="http://schemas.openxmlformats.org/spreadsheetml/2006/main" count="514" uniqueCount="468">
  <si>
    <t>F</t>
  </si>
  <si>
    <t>NO.</t>
  </si>
  <si>
    <t>Misión, visión y valores</t>
  </si>
  <si>
    <t>Gestión empresarial</t>
  </si>
  <si>
    <t>Manuales de organización, políticas y procedimientos</t>
  </si>
  <si>
    <t>Comunicación, transparencia y rendición de cuentas</t>
  </si>
  <si>
    <t>Medidas anticorrupción</t>
  </si>
  <si>
    <t>EVIDENCIAS</t>
  </si>
  <si>
    <t>NE</t>
  </si>
  <si>
    <t>DO</t>
  </si>
  <si>
    <t>DP</t>
  </si>
  <si>
    <t>DI</t>
  </si>
  <si>
    <t>MR</t>
  </si>
  <si>
    <t>Observaciones</t>
  </si>
  <si>
    <t>Sistema Nacional de Certificación Turística</t>
  </si>
  <si>
    <t>GOBERNANZA DE LA ORGANIZACIÓN</t>
  </si>
  <si>
    <t>VALOR EVIDENCIAS</t>
  </si>
  <si>
    <t>PUNTOS OBTENIDOS</t>
  </si>
  <si>
    <t>TOTAL</t>
  </si>
  <si>
    <t>SUMATORIA</t>
  </si>
  <si>
    <t>DERECHOS HUMANOS DE LOS TRABAJADORES</t>
  </si>
  <si>
    <t>NIVEL DE MADUREZ</t>
  </si>
  <si>
    <t>REQUISITOS</t>
  </si>
  <si>
    <t>CRITERIOS DE EVALUACIÓN</t>
  </si>
  <si>
    <t>SUBFACTORES</t>
  </si>
  <si>
    <t>Respeto a los derechos humanos</t>
  </si>
  <si>
    <t>No discriminación y atención a grupos vulnerables</t>
  </si>
  <si>
    <t>Equidad de género</t>
  </si>
  <si>
    <t>Inclusión y accesibilidad de personas con discapacidad</t>
  </si>
  <si>
    <t>Prácticas laborales</t>
  </si>
  <si>
    <t>Derecho de asociación</t>
  </si>
  <si>
    <t>Respeto al derecho laboral de los trabajadores</t>
  </si>
  <si>
    <t>Salud, seguridad e higiene en el trabajo</t>
  </si>
  <si>
    <t>Protección civil</t>
  </si>
  <si>
    <t>Desarrollo humano y formación del personal</t>
  </si>
  <si>
    <t>Inversionistas</t>
  </si>
  <si>
    <t>Inversión y rendimientos justos</t>
  </si>
  <si>
    <t>Proveedores</t>
  </si>
  <si>
    <t>Selección, contratación y pago a proveedores</t>
  </si>
  <si>
    <t>Desarrollo de proveedores</t>
  </si>
  <si>
    <t>Clientes</t>
  </si>
  <si>
    <t>Protección de la salud y la seguridad de los consumidores</t>
  </si>
  <si>
    <t>Atención y satisfacción del cliente</t>
  </si>
  <si>
    <t>Resolución de quejas y controversias</t>
  </si>
  <si>
    <t>Prácticas comerciales</t>
  </si>
  <si>
    <t>Mercadotecnia y publicidad responsable y transparente</t>
  </si>
  <si>
    <t>Protección y privacidad de los datos de los consumidores</t>
  </si>
  <si>
    <t>Competencia</t>
  </si>
  <si>
    <t>Competencia justa y honesta</t>
  </si>
  <si>
    <t>Autoridad y legalidad</t>
  </si>
  <si>
    <t>Medio ambiente</t>
  </si>
  <si>
    <t>Desarrollo social y comunitario</t>
  </si>
  <si>
    <t>Impulso al desarrollo social</t>
  </si>
  <si>
    <t>Acciones para el desarrollo comunitario</t>
  </si>
  <si>
    <t>Procesos y mejora continua</t>
  </si>
  <si>
    <t xml:space="preserve">Cuenta con un programa interno de protección civil </t>
  </si>
  <si>
    <t>SI</t>
  </si>
  <si>
    <t>NO</t>
  </si>
  <si>
    <t>CUMPLIMIENTO DEL MARCO LEGAL Y NORMATIVO</t>
  </si>
  <si>
    <t>Cumplimiento</t>
  </si>
  <si>
    <t>REFERENTES / EQUIVALENCIAS</t>
  </si>
  <si>
    <t>REFERENTE / EQUIVALENCIA</t>
  </si>
  <si>
    <r>
      <rPr>
        <b/>
        <sz val="11"/>
        <color theme="1"/>
        <rFont val="Soberana Sans Light"/>
        <family val="3"/>
      </rPr>
      <t>Distintivo M I</t>
    </r>
    <r>
      <rPr>
        <sz val="11"/>
        <color theme="1"/>
        <rFont val="Soberana Sans Light"/>
        <family val="3"/>
      </rPr>
      <t>. Programa de Calidad Moderniza. Sistema de gestión M. SECTUR</t>
    </r>
  </si>
  <si>
    <r>
      <rPr>
        <b/>
        <sz val="11"/>
        <color theme="1"/>
        <rFont val="Soberana Sans Light"/>
        <family val="3"/>
      </rPr>
      <t>Distintivo MII.</t>
    </r>
    <r>
      <rPr>
        <sz val="11"/>
        <color theme="1"/>
        <rFont val="Soberana Sans Light"/>
        <family val="3"/>
      </rPr>
      <t xml:space="preserve"> Programa Moderniza Especializada (M II) SECTUR</t>
    </r>
  </si>
  <si>
    <r>
      <rPr>
        <b/>
        <sz val="11"/>
        <color theme="1"/>
        <rFont val="Soberana Sans Light"/>
        <family val="3"/>
      </rPr>
      <t>Distintivo Empresa Incluyente “Gilberto Rincón Gallardo”.</t>
    </r>
    <r>
      <rPr>
        <sz val="11"/>
        <color theme="1"/>
        <rFont val="Soberana Sans Light"/>
        <family val="3"/>
      </rPr>
      <t xml:space="preserve"> STPS</t>
    </r>
  </si>
  <si>
    <t>Referentes</t>
  </si>
  <si>
    <t>Instrucciones de Llenado</t>
  </si>
  <si>
    <t>Abreviaturas</t>
  </si>
  <si>
    <t xml:space="preserve">Sistema Nacional de Certificación Turística </t>
  </si>
  <si>
    <t>Factor</t>
  </si>
  <si>
    <t>F:</t>
  </si>
  <si>
    <t>SNCT:</t>
  </si>
  <si>
    <t>Grado de Cumplimiento / Evidencias</t>
  </si>
  <si>
    <t>TOTAL DE REFERENTES / EQUIVALENCIAS</t>
  </si>
  <si>
    <t>1,751 a 2,000</t>
  </si>
  <si>
    <t>DIAMANTE</t>
  </si>
  <si>
    <t>1,501 a 1,750</t>
  </si>
  <si>
    <t>PLATINO</t>
  </si>
  <si>
    <t>1,251 a 1,500</t>
  </si>
  <si>
    <t>ORO</t>
  </si>
  <si>
    <t>1,001 a 1,250</t>
  </si>
  <si>
    <t>PLATA</t>
  </si>
  <si>
    <t>BRONCE</t>
  </si>
  <si>
    <t>700 a 1,000</t>
  </si>
  <si>
    <r>
      <rPr>
        <sz val="9"/>
        <color theme="5" tint="-0.249977111117893"/>
        <rFont val="Soberana Sans Light"/>
        <family val="3"/>
      </rPr>
      <t xml:space="preserve">700 a 1,000 - BRONCE   -   </t>
    </r>
    <r>
      <rPr>
        <sz val="9"/>
        <color theme="0" tint="-0.34998626667073579"/>
        <rFont val="Soberana Sans Light"/>
        <family val="3"/>
      </rPr>
      <t xml:space="preserve">1,001 a 1,250 PLATA  </t>
    </r>
    <r>
      <rPr>
        <sz val="9"/>
        <color theme="7" tint="-0.249977111117893"/>
        <rFont val="Soberana Sans Light"/>
        <family val="3"/>
      </rPr>
      <t xml:space="preserve"> -   1,251 a 1,500 ORO   -   </t>
    </r>
    <r>
      <rPr>
        <sz val="9"/>
        <color theme="1" tint="0.499984740745262"/>
        <rFont val="Soberana Sans Light"/>
        <family val="3"/>
      </rPr>
      <t>1,501 a 1,750 PLATINO</t>
    </r>
    <r>
      <rPr>
        <sz val="9"/>
        <color theme="7" tint="-0.249977111117893"/>
        <rFont val="Soberana Sans Light"/>
        <family val="3"/>
      </rPr>
      <t xml:space="preserve">   -  </t>
    </r>
    <r>
      <rPr>
        <sz val="9"/>
        <color theme="4" tint="0.39997558519241921"/>
        <rFont val="Soberana Sans Light"/>
        <family val="3"/>
      </rPr>
      <t xml:space="preserve"> 1,751 a 2,000 DIAMANTE</t>
    </r>
  </si>
  <si>
    <t>Comentarios</t>
  </si>
  <si>
    <t>DUDAS, PREGUNTAS O COMENTARIOS</t>
  </si>
  <si>
    <t>Su diagnostico inicial indica que su establecimiento obtuvo</t>
  </si>
  <si>
    <t>PUNTOS</t>
  </si>
  <si>
    <t xml:space="preserve"> ALCANZO EL NIVEL DE MADUREZ</t>
  </si>
  <si>
    <r>
      <t xml:space="preserve">NMX-R-025-SCFI-2012
</t>
    </r>
    <r>
      <rPr>
        <sz val="11"/>
        <color theme="1"/>
        <rFont val="Soberana Sans Light"/>
        <family val="3"/>
      </rPr>
      <t>Para la igualdad laboral entre mujeres y hombres (cancela a la nmx-r-025-scfi-2009) publicada en el diario oficial de la federación el 23 de noviembre de 2012.</t>
    </r>
  </si>
  <si>
    <r>
      <rPr>
        <b/>
        <sz val="11"/>
        <color theme="1"/>
        <rFont val="Soberana Sans Light"/>
        <family val="3"/>
      </rPr>
      <t xml:space="preserve">NMX-CC-9004-IMNC-2009
ISO 9004:2009 COPANT/ISO 9004:2009
</t>
    </r>
    <r>
      <rPr>
        <sz val="11"/>
        <color theme="1"/>
        <rFont val="Soberana Sans Light"/>
        <family val="3"/>
      </rPr>
      <t>Gestión para el éxito sostenido de una organización –Enfoque de gestión de la calidad.</t>
    </r>
  </si>
  <si>
    <t>RFC</t>
  </si>
  <si>
    <t>Está legalmente constituido</t>
  </si>
  <si>
    <t>Cumple con las medidas de protección civil requeridas</t>
  </si>
  <si>
    <t>Aplica la normatividad laboral vigente</t>
  </si>
  <si>
    <t>Subsector Agencia de Viajes</t>
  </si>
  <si>
    <t>La misión, visión y valores son refrendados por todos en el establecimiento</t>
  </si>
  <si>
    <t>Código de ética o de conducta</t>
  </si>
  <si>
    <t>Se cuenta con un código de ética o de conducta que establece los principios, valores y acciones éticas buscadas por el establecimiento</t>
  </si>
  <si>
    <t>Cuenta con un código de ética o de conducta formal que establece los principios, valores y acciones éticas buscadas por el establecimiento</t>
  </si>
  <si>
    <t>El código de ética o de conducta es refrendado por todos en el establecimiento</t>
  </si>
  <si>
    <t>Cuenta con un plan de negocio o estratégico</t>
  </si>
  <si>
    <t>El plan incluye objetivos, metas y responsables de llevarlos a cabo en el establecimiento</t>
  </si>
  <si>
    <t>El plan incluye la definición y segmentación de clientes objetivo</t>
  </si>
  <si>
    <t>El plan incluye la identificación y características de la competencia</t>
  </si>
  <si>
    <t>El plan incluye la identificación de fortalezas y limitaciones a través de un análisis FODA.</t>
  </si>
  <si>
    <t>Se evalúa el plan de negocio o estratégico</t>
  </si>
  <si>
    <t>Se evalúa el clima laboral, al menos una vez al año</t>
  </si>
  <si>
    <t>Establece un plan de acción para la mejora del clima laboral</t>
  </si>
  <si>
    <t>Evalúa el nivel de liderazgo, al menos una vez al año</t>
  </si>
  <si>
    <t>Establece un plan de acción para la mejora del nivel de liderazgo</t>
  </si>
  <si>
    <t>Las normas y procedimientos, incluyen el trato equitativo de todos los accionistas, el acceso a la información y a la capacidad de ejercer sus derechos</t>
  </si>
  <si>
    <t xml:space="preserve">El establecimiento está registrado ante una Asociación o agrupación certificada del subsector al que pertenece para fortalecer su operación </t>
  </si>
  <si>
    <t>Cuenta con un Manual de organización, que incluye la estructura organizacional del establecimiento y la descripción de funciones</t>
  </si>
  <si>
    <t>Existe un método para realizar las revisiones gerenciales y ejecutivas</t>
  </si>
  <si>
    <t>Cuenta con manuales de procedimientos de las principales áreas del establecimiento</t>
  </si>
  <si>
    <t>Cuenta con un manual de procedimientos administrativos que incluye políticas de RSE</t>
  </si>
  <si>
    <t>Cuenta con un manual de procedimientos de ventas que incluye políticas de RSE</t>
  </si>
  <si>
    <t>Cuenta con un manual de procedimientos de recursos humanos que incluye el perfil de puestos y políticas de RSE</t>
  </si>
  <si>
    <t>Cuenta con un manual de procedimientos para la adquisición de bienes y servicios e incluye políticas de RSE</t>
  </si>
  <si>
    <t>Cuenta con un manual de RSE y se difunde entre las partes interesadas</t>
  </si>
  <si>
    <t>Se cuenta con un programa de RSE implementado en la organización</t>
  </si>
  <si>
    <t>Cuenta con procesos de comunicación interna y externa apropiados y formales</t>
  </si>
  <si>
    <t>Cuenta con proceso o sistemas de comunicación e información formales</t>
  </si>
  <si>
    <t>Se informa al personal los planes, programas, objetivos, metas y políticas del establecimiento</t>
  </si>
  <si>
    <t>Cuenta con un buzón de quejas físico y/o electrónico</t>
  </si>
  <si>
    <t>Lleva a cabo auditorias y/o revisiones a los procedimientos y operaciones del establecimiento</t>
  </si>
  <si>
    <t>Lleva a cabo auditorias administrativas</t>
  </si>
  <si>
    <t>Lleva a cabo auditorías contables</t>
  </si>
  <si>
    <t>Se llevan a cabo programas regulares de auditoría y evaluación en materia ética, valores y RSE</t>
  </si>
  <si>
    <t>Se alienta a los empleados, socios, clientes y proveedores a que informen sobre violaciones de las políticas de la organización y tratamientos inmorales o injustos adoptando mecanismos que permitan ofrecer información y hacer un seguimiento de la acción, sin miedo a represalias</t>
  </si>
  <si>
    <t>Se promueve la igualdad de oportunidades, el respeto de los derechos humanos de todos sus trabajadores y la participación social</t>
  </si>
  <si>
    <t>Se evitan pruebas de embarazo, VIH, etc. al momento de la contratación</t>
  </si>
  <si>
    <t xml:space="preserve">Se establece explícitamente la prohibición de cualquier tipo de acoso </t>
  </si>
  <si>
    <t>Cuenta con mecanismos para reportar situaciones de acoso sin temor a represalias</t>
  </si>
  <si>
    <t>Los contratos de trabajo son lo suficientemente claros sobre los derechos y obligaciones de los colaboradores</t>
  </si>
  <si>
    <t>No contrata personal de forma ilegal o por debajo de las condiciones mínimas, u otro tipo de acciones que vayan en contra del respeto humano del colaborador dictadas por la legislación nacional</t>
  </si>
  <si>
    <t xml:space="preserve">Se tienen mecanismos que eviten que el trabajador firme documentos en blanco, deje depósito o garantía económica y que se le retengan documentos originales de identidad </t>
  </si>
  <si>
    <t>Se promueve la no discriminación y la atención de grupos vulnerables: prohibición del trabajo infantil, la prevención a la explotación sexual y laboral de las niñas, niños y adolescentes, la igualdad de los trabajadores sin ningún distingo, y jornadas de trabajo flexibles para el personal que requiera compatibilizar su actividad con el cuidado de sus hijos</t>
  </si>
  <si>
    <t>Cuenta con políticas que prohíben el trabajo infantil (menores de 14 años), de acuerdo con la legislación nacional</t>
  </si>
  <si>
    <t>Se cuenta con la documentación que prueba la edad de los colaboradores</t>
  </si>
  <si>
    <t>Se tiene implementado el Código de Conducta Nacional (CCN) para la Protección de las Niñas, Niños y Adolescentes en el Sector de los Viajes y el Turismo</t>
  </si>
  <si>
    <t>Promueve la igualdad de los trabajadores sin distinción de: raza, color, género, edad, religión, etnia o procedencia social, motivos económicos, discapacidad, embarazo, preferencia sexual, afiliación política u opiniones políticas, ser portador o padecer VIH/SIDA, entre otros.</t>
  </si>
  <si>
    <t>Existen lineamientos escritos que prohíban y sancionen prácticas discriminatorias por credo, género, edad, raza o discapacidad, en los procesos de admisión y promoción interna</t>
  </si>
  <si>
    <t>Ofrece jornadas de trabajo flexible para el personal que requiera compatibilizar su actividad con el cuidado de sus hijos: jardines de niños, horas de lactancia, mínimo dos descansos de 30 minutos en su jornada, etc.</t>
  </si>
  <si>
    <t xml:space="preserve">Cuenta con una política que promueva la equidad de género en igualdad de condiciones </t>
  </si>
  <si>
    <t>Promueve que todo trabajo sea desempeñado por mujeres y hombres en condiciones de igualdad, reconocidos legalmente como trabajadores</t>
  </si>
  <si>
    <t>Se cuenta con una política que promueve el empleo a discapacitados</t>
  </si>
  <si>
    <t>Tiene al menos un puesto disponible para ser ocupado por una persona con alguna discapacidad y cuenta con las instalaciones (condiciones físicas) para el desempeño de su trabajo</t>
  </si>
  <si>
    <t>Se permite la libertad de asociación de grupos de colaboradores y/o sindicato al interior del establecimiento.</t>
  </si>
  <si>
    <t>Se provee a grupos de trabajadores organizados y/o sindicatos de información sobre las condiciones generales de la empresa</t>
  </si>
  <si>
    <t>Cuenta con políticas y procedimientos para gestionar recursos humanos</t>
  </si>
  <si>
    <t>Se cuenta con políticas y procedimientos para gestionar recursos humanos: promoción, reclutamiento, selección, contratación-contrato de trabajo, inducción, capacitación, previsión social, jubilación, entre otros aspectos.</t>
  </si>
  <si>
    <t>Se tiene establecido un reglamento interior de trabajo presentado ante la Junta Federal de Conciliación y Arbitraje</t>
  </si>
  <si>
    <t>Existe evidencia del pago (sueldo, salarios, honorarios, prestaciones, etc.) que realiza el establecimiento a sus colaboradores</t>
  </si>
  <si>
    <t>Existe una política  de retención de colaboradores y empleados en la organización</t>
  </si>
  <si>
    <t>Cuenta con indicadores para medir el índice de rotación de personal</t>
  </si>
  <si>
    <t xml:space="preserve">Establece un plan de acción para disminuir el nivel de rotación </t>
  </si>
  <si>
    <t>Se tienen implementados métodos para escuchar y recibir sugerencias y quejas de los colaboradores, y da respuesta a cada una de ellas</t>
  </si>
  <si>
    <t>Se promueve la salud, seguridad e higiene en el trabajo</t>
  </si>
  <si>
    <t>Se cuenta con el equipo de seguridad, equipo de protección personal apropiado  y se le proporciona a los empleados en forma gratuita y constante</t>
  </si>
  <si>
    <t>El lugar de trabajo se encuentra debidamente ventilado, iluminado y con las instalaciones sanitarias suficientes y limpias para los colaboradores en condiciones seguras y saludables gestionando los riesgos de las actividades en las que laboran los trabajadores</t>
  </si>
  <si>
    <t>Se cuenta con un programa interno de protección civil que incluye lo referente a control de incendios y emergencias</t>
  </si>
  <si>
    <t>Se evalúa y se incentiva la labor de los colaboradores y se promueve su  desarrollo y formación, para mejorar el nivel de vida y fortalecer el hacer operativo</t>
  </si>
  <si>
    <t>Se cuenta con un plan de incentivos para sus trabajadores, basado en mecanismos de evaluación del desempeño</t>
  </si>
  <si>
    <t>Destina la empresa recursos para el desarrollo de programas de educación de sus colaboradores</t>
  </si>
  <si>
    <t>Se cuenta con una detección de necesidades de capacitación</t>
  </si>
  <si>
    <t>Se cuenta con un programa de formación y capacitación mediante estándares de competencia para el personal del establecimiento</t>
  </si>
  <si>
    <t>El personal recibe capacitación con propósitos de certificación</t>
  </si>
  <si>
    <t>Se certifica al personal que participa en procesos de capacitación</t>
  </si>
  <si>
    <t xml:space="preserve">Se asignan recursos para la certificación del personal en estándares de competencias </t>
  </si>
  <si>
    <t>Se imparte capacitación en materia de inducción al establecimiento</t>
  </si>
  <si>
    <t>Se imparte capacitación en materia de filosofía empresarial: misión, visión, valores, y código de ética o de conducta</t>
  </si>
  <si>
    <t>Se imparte capacitación específica para agentes de viajes, preferentemente validada por organismos nacionales o internacionales</t>
  </si>
  <si>
    <t>Se imparte capacitación en materia de Protección al Consumidor y en Contrato de Adhesión, impartido por la Profeco.</t>
  </si>
  <si>
    <t>Se imparte capacitación en materia de Calidad en el Servicio</t>
  </si>
  <si>
    <t>Se imparte capacitación en materia Ambiental.</t>
  </si>
  <si>
    <t>Se imparte capacitación en materia Laboral.</t>
  </si>
  <si>
    <t>Se tiene un mecanismo para evaluar el cumplimiento y calidad de los programas de capacitación y da seguimiento a los resultados.</t>
  </si>
  <si>
    <t>Se tiene evidencia de cómo se informan los resultados financieros a los accionistas o inversionistas</t>
  </si>
  <si>
    <t>Se presentan informes de rendición de cuentas, incluyendo a los accionistas</t>
  </si>
  <si>
    <t>Cuenta con una política y procedimientos para la contratación y pago a proveedores</t>
  </si>
  <si>
    <t>Se cuenta con una guía o lista de proveedores seleccionados</t>
  </si>
  <si>
    <t>Se tiene una política de pago a proveedores</t>
  </si>
  <si>
    <t>Calidad de la proveeduría y alineamiento a la Responsabilidad Social y ambiental</t>
  </si>
  <si>
    <t>Se promueve la calidad de la proveeduría y ésta se encuentra alineada a la Responsabilidad Social y ambiental</t>
  </si>
  <si>
    <t>Para la selección de proveedores se aplican criterios de precio, calidad, entrega y confianza</t>
  </si>
  <si>
    <t>Se cuenta con procedimientos claros y transparentes para la adquisición de bienes y servicios</t>
  </si>
  <si>
    <t>Solicita por escrito las condiciones y características en que se deben cumplir los productos o servicios contratados</t>
  </si>
  <si>
    <t>Cuenta con políticas de no darle trabajo a un proveedor que tenga como práctica el trabajo forzado; y, si éstos contratan a menores de edad en el desempeño de sus procesos.</t>
  </si>
  <si>
    <t>El establecimiento se involucra en el desarrollo de sus proveedores</t>
  </si>
  <si>
    <t>Tiene como política involucrarse en el desarrollo de sus proveedores en proyectos que significan mejoras en los procesos</t>
  </si>
  <si>
    <t>Da preferencia a proveedores si éstos están comprometidos con la responsabilidad social</t>
  </si>
  <si>
    <t>Promueve la protección de la salud y la seguridad de los consumidores</t>
  </si>
  <si>
    <t>Cuenta con políticas y procedimientos para la atención y satisfacción del cliente</t>
  </si>
  <si>
    <t>Cuenta con un procedimiento para la prestación del servicio al cliente e incluye aspectos de RSE</t>
  </si>
  <si>
    <t>Cuenta con una política que indica el compromiso de servicio a la venta y a la post-venta que se tiene con los clientes</t>
  </si>
  <si>
    <t>Cuenta con un procedimiento para conocer la satisfacción de sus clientes</t>
  </si>
  <si>
    <t>Cuenta con indicadores para medir los resultados de la satisfacción del cliente</t>
  </si>
  <si>
    <t xml:space="preserve">Aplica la organización programas de educación que inculquen a sus colaboradores y directivos la importancia y el respeto por el cliente </t>
  </si>
  <si>
    <t>Cuenta con el registro, análisis, resolución  y seguimiento de las quejas y controversias atendidas</t>
  </si>
  <si>
    <t>Prácticas comerciales justas y responsables</t>
  </si>
  <si>
    <t xml:space="preserve">Aplica políticas que promueven prácticas comerciales justas y responsables </t>
  </si>
  <si>
    <t>Tiene políticas sobre prácticas comerciales justas y responsables (ejemplo: evitar prácticas de información falsa o engañosa en la publicidad de su servicio)</t>
  </si>
  <si>
    <t>Promueve la organización prácticas de venta con criterios éticos</t>
  </si>
  <si>
    <t>Cuenta con precios y condiciones de venta claros y coinciden con el producto o servicio que se ofrece</t>
  </si>
  <si>
    <t>Cuenta con garantías sobre sus productos o servicios en forma transparente y sin letra chiquita</t>
  </si>
  <si>
    <t>La mercadotecnia y publicidad que realiza no genera falsas expectativas y está alineada a los valores de la organización</t>
  </si>
  <si>
    <t>Las campañas publicitarias están alineadas con los valores de la organización</t>
  </si>
  <si>
    <t>Cuenta con políticas de protección y privacidad de los datos de los consumidores</t>
  </si>
  <si>
    <t>Cuenta con una política que protege la privacidad y los datos de carácter personal de los consumidores, mediante salvaguardas adecuadas de seguridad.</t>
  </si>
  <si>
    <t>No revela, ni pone a disposición, ni usa los datos de carácter personal, para propósitos distintos de aquellos especificados, incluido el marketing, excepto cuando exista consentimiento informado y voluntario del consumidor.</t>
  </si>
  <si>
    <t>Existe una base de datos de clientes con información relevante sobre sus características, necesidades, expectativas e incidencias</t>
  </si>
  <si>
    <t>Respeto a los derechos de propiedad nacional e internacional</t>
  </si>
  <si>
    <t>Se respetan los derechos de propiedad nacional e internacional</t>
  </si>
  <si>
    <t>Cuenta con políticas y prácticas que promueven el respeto de los derechos de propiedad, marcas y patentes</t>
  </si>
  <si>
    <t>Se prohíbe involucrarse en actividades que violen los derechos de propiedad, la falsificación y la piratería.</t>
  </si>
  <si>
    <t>Se promueve ante la competencia prácticas comerciales justas y honestas</t>
  </si>
  <si>
    <t>Promueve entre sus colaboradores una política de trato justo y honesto hacia la competencia</t>
  </si>
  <si>
    <t>Cuenta con los mecanismos necesarios que le permitan garantizar que sus prácticas comerciales son honestas</t>
  </si>
  <si>
    <t>Promueve una política en la que se ofrecen precios competitivos, justos y en ofertas sin poner en desventaja a la competencia</t>
  </si>
  <si>
    <t>Evita la organización prácticas de monopolio</t>
  </si>
  <si>
    <t>Cumplimiento de las leyes, reglamentos, normas y lineamientos nacionales e internacionales</t>
  </si>
  <si>
    <t>Se tienen políticas claras y prácticas para mantener el cumplimiento de las leyes, reglamentos, normas y lineamientos nacionales e internacionales; para conocer dichos ordenamiento o normatividad; y se adoptan medidas necesarias para cuando cambien se ajusten a ellos</t>
  </si>
  <si>
    <t>Se establece el rechazo a prácticas de corrupción, tales como cohecho y soborno</t>
  </si>
  <si>
    <t>Se hacen las retenciones de ley a los colaboradores</t>
  </si>
  <si>
    <t>Acciones de prevención, y mitigación del impacto ambiental generado por la contaminación, protección de la biodiversidad y restauración de hábitats</t>
  </si>
  <si>
    <t>Cumple con las disposiciones gubernamentales y cuenta con planes y programas para la prevención y mitigación del impacto ambiental</t>
  </si>
  <si>
    <t>Cuenta con un programa que promueve la conciencia ecológica</t>
  </si>
  <si>
    <t>Cuenta con un plan para disminuir la generación de emisiones contaminantes al aire, agua y suelo</t>
  </si>
  <si>
    <t>Cuenta con un plan para ahorrar costos, por un menor consumo de recursos</t>
  </si>
  <si>
    <t>Cuenta con una política para no utilizar servicios, ni consumir productos, que tengan contraindicaciones ambientales</t>
  </si>
  <si>
    <t>Cuenta con una política que promueve el reciclado de insumos y otros productos</t>
  </si>
  <si>
    <t>Cuenta con un plan de uso y ahorro del agua: utiliza dispositivos para el ahorro de agua en llaves y sanitarios</t>
  </si>
  <si>
    <t>Uso sustentable de los recursos naturales</t>
  </si>
  <si>
    <t>Se promueve políticas, planes y acciones para un uso sustentable de los recursos naturales y mejora de su desempeño ambiental</t>
  </si>
  <si>
    <t>Compra bienes desechables y de consumo de manera moderada y busca formas de reducir su uso</t>
  </si>
  <si>
    <t>Utiliza materiales promocionales e informativos con material reciclado</t>
  </si>
  <si>
    <t>Reutiliza papel y fomenta el uso de sistemas informáticos que permiten reducir el consumo de papel: internet, correo electrónico, y redes sociales, entre otros.</t>
  </si>
  <si>
    <t>Cuenta con luminarias de bajo consumo.</t>
  </si>
  <si>
    <t>Promueve el interés de establecer y llevar a cabo políticas y acciones en apoyo al desarrollo social</t>
  </si>
  <si>
    <t>Cuenta con una política que señala la intención de apoyar el desarrollo de las comunidades donde opera</t>
  </si>
  <si>
    <t>Contribuye y apoya la formación de estudiantes de la localidad, para que realicen pasantías o prácticas en el establecimiento de acuerdo con su perfil escolar.</t>
  </si>
  <si>
    <t>Tiene una política que contribuye con donaciones en especie, o económicas que apoyen necesidades de la comunidad: salud, educación, cultura y acciones cívicas</t>
  </si>
  <si>
    <t>Colabora con el desarrollo comunitario estableciendo diversa acciones de apoyo a la comunidad</t>
  </si>
  <si>
    <t>Colabora con organizaciones desarrollando acciones en apoyo a la comunidad</t>
  </si>
  <si>
    <t>Otorga donativos para apoyar programas comunitarios y a organizaciones no gubernamentales (ONG's)</t>
  </si>
  <si>
    <t>Establece planes y programas que impulsan una filosofía de calidad y mejora continua</t>
  </si>
  <si>
    <t>Establece un plan y programa de calidad integral en todas las áreas del establecimiento.</t>
  </si>
  <si>
    <t>Establece como política la filosofía de mejora continua en los procesos operativos y administrativos del establecimiento.</t>
  </si>
  <si>
    <t xml:space="preserve">Establece controles y registros para llevar a cabo acciones preventivas y correctivas </t>
  </si>
  <si>
    <t>Verifica y evalúa sistemáticamente la efectividad de sus programas, planes, procesos, procedimientos, políticas y acciones.</t>
  </si>
  <si>
    <t>Revisión de prácticas de calidad y Responsabilidad Social Empresarial, así como de responsabilidad ambiental</t>
  </si>
  <si>
    <t>Cuenta con un plan o programa de revisión de prácticas de calidad y Responsabilidad Social Empresarial, así como de responsabilidad ambiental</t>
  </si>
  <si>
    <t>Cuenta con un plan o programa de revisión de prácticas de calidad y RSE del establecimiento</t>
  </si>
  <si>
    <t>Se cuenta con una política de dar oportunidades de empleo a discapacitados</t>
  </si>
  <si>
    <t>Normas Mexicanas (NMX) aplicables al subsector Agencias de Viajes</t>
  </si>
  <si>
    <r>
      <t xml:space="preserve">NMX-TT-010-IMNC-2008 
</t>
    </r>
    <r>
      <rPr>
        <sz val="11"/>
        <color theme="1"/>
        <rFont val="Soberana Sans Light"/>
        <family val="3"/>
      </rPr>
      <t>Turismo-Agencias de Viajes y Operadoras de Turismo-Clasificación y Requisitos</t>
    </r>
  </si>
  <si>
    <r>
      <rPr>
        <b/>
        <sz val="11"/>
        <color theme="1"/>
        <rFont val="Soberana Sans Light"/>
        <family val="3"/>
      </rPr>
      <t xml:space="preserve">NMX-R-050-SCFI-2006
</t>
    </r>
    <r>
      <rPr>
        <sz val="11"/>
        <color theme="1"/>
        <rFont val="Soberana Sans Light"/>
        <family val="3"/>
      </rPr>
      <t>Accesibilidad de las personas con discapacidad a espacios construidos de servicio al público -especificaciones de seguridad.</t>
    </r>
  </si>
  <si>
    <r>
      <rPr>
        <b/>
        <sz val="11"/>
        <color theme="1"/>
        <rFont val="Soberana Sans Light"/>
        <family val="3"/>
      </rPr>
      <t xml:space="preserve">NMX-CC-9001-IMNC-2008
ISO 9001:2008 COPANT/ISO 9001:2008
</t>
    </r>
    <r>
      <rPr>
        <sz val="11"/>
        <color theme="1"/>
        <rFont val="Soberana Sans Light"/>
        <family val="3"/>
      </rPr>
      <t xml:space="preserve">Sistemas de gestión de la calidad – Requisitos. </t>
    </r>
  </si>
  <si>
    <r>
      <rPr>
        <b/>
        <sz val="11"/>
        <color theme="1"/>
        <rFont val="Soberana Sans Light"/>
        <family val="3"/>
      </rPr>
      <t xml:space="preserve">NMX-SAST-26000-IMNC-2011
</t>
    </r>
    <r>
      <rPr>
        <sz val="11"/>
        <color theme="1"/>
        <rFont val="Soberana Sans Light"/>
        <family val="3"/>
      </rPr>
      <t>Guía de responsabilidad social (cancela a la nmx-sast-004-imnc-2004).</t>
    </r>
  </si>
  <si>
    <t>Certificaciones, Sellos, Distintivos y Reconocimientos</t>
  </si>
  <si>
    <r>
      <rPr>
        <b/>
        <sz val="11"/>
        <color theme="1"/>
        <rFont val="Soberana Sans Light"/>
        <family val="3"/>
      </rPr>
      <t xml:space="preserve">Sello de Calidad “Punto Limpio”. SECTUR
</t>
    </r>
    <r>
      <rPr>
        <sz val="11"/>
        <color theme="1"/>
        <rFont val="Soberana Sans Light"/>
        <family val="3"/>
      </rPr>
      <t>Programa Nacional para las Buenas Prácticas para la Calidad Higiénica de las MIPYMES Turísticas Punto Limpio. SECTUR</t>
    </r>
  </si>
  <si>
    <r>
      <rPr>
        <b/>
        <sz val="11"/>
        <color theme="1"/>
        <rFont val="Soberana Sans Light"/>
        <family val="3"/>
      </rPr>
      <t>Distintivo S</t>
    </r>
    <r>
      <rPr>
        <sz val="11"/>
        <color theme="1"/>
        <rFont val="Soberana Sans Light"/>
        <family val="3"/>
      </rPr>
      <t xml:space="preserve"> de Sustentabilidad
Programa de Buenas Prácticas de Sustentabilidad. SECTUR</t>
    </r>
  </si>
  <si>
    <t>Distintivo Empresa Familiarmente Responsable. (STPS)</t>
  </si>
  <si>
    <t>RESPUESTA(S) A PREGUNTA(S)</t>
  </si>
  <si>
    <t>Marco Legal y Normativo</t>
  </si>
  <si>
    <t>NORMAS OFICIALES MEXICANAS (NOM´S) EN SEGURIDAD Y SALUD EN EL TRABAJO</t>
  </si>
  <si>
    <r>
      <rPr>
        <b/>
        <sz val="11"/>
        <color theme="1"/>
        <rFont val="Soberana Sans Light"/>
        <family val="3"/>
      </rPr>
      <t xml:space="preserve">NOM-002-STPS-2010
</t>
    </r>
    <r>
      <rPr>
        <sz val="11"/>
        <color theme="1"/>
        <rFont val="Soberana Sans Light"/>
        <family val="3"/>
      </rPr>
      <t>Condiciones de seguridad-Prevención y protección contra incendios en los centros de trabajo.</t>
    </r>
  </si>
  <si>
    <t>OTRAS NOM´s APLICABLES AL SUBSECTOR</t>
  </si>
  <si>
    <r>
      <rPr>
        <b/>
        <sz val="11"/>
        <color theme="1"/>
        <rFont val="Soberana Sans Light"/>
        <family val="3"/>
      </rPr>
      <t>LEY GENERAL DE PROTECCION CIVIL Y SU REGLAMENTO (FEDERAL Y LOCAL)</t>
    </r>
    <r>
      <rPr>
        <sz val="11"/>
        <color theme="1"/>
        <rFont val="Soberana Sans Light"/>
        <family val="3"/>
      </rPr>
      <t xml:space="preserve">
Medidas de seguridad. Cuando no requiera de un programa interno de protección civil, por tener un aforo menor a 50 personas</t>
    </r>
  </si>
  <si>
    <r>
      <rPr>
        <b/>
        <sz val="11"/>
        <color theme="1"/>
        <rFont val="Soberana Sans Light"/>
        <family val="3"/>
      </rPr>
      <t xml:space="preserve">LEY DEL SEGURO SOCIAL </t>
    </r>
    <r>
      <rPr>
        <sz val="11"/>
        <color theme="1"/>
        <rFont val="Soberana Sans Light"/>
        <family val="3"/>
      </rPr>
      <t xml:space="preserve">
Inscripción del registro empresarial ante el Instituto Mexicano del Seguro Social</t>
    </r>
  </si>
  <si>
    <r>
      <rPr>
        <b/>
        <sz val="11"/>
        <color theme="1"/>
        <rFont val="Soberana Sans Light"/>
        <family val="3"/>
      </rPr>
      <t>CÓDIGO FISCAL DE LA FEDERACIÓN</t>
    </r>
    <r>
      <rPr>
        <sz val="11"/>
        <color theme="1"/>
        <rFont val="Soberana Sans Light"/>
        <family val="3"/>
      </rPr>
      <t xml:space="preserve">
Alta en Secretaria de Hacienda y Crédito Público</t>
    </r>
  </si>
  <si>
    <r>
      <rPr>
        <b/>
        <sz val="11"/>
        <color theme="1"/>
        <rFont val="Soberana Sans Light"/>
        <family val="3"/>
      </rPr>
      <t>LEY FEDERAL DEL TRABAJO</t>
    </r>
    <r>
      <rPr>
        <sz val="11"/>
        <color theme="1"/>
        <rFont val="Soberana Sans Light"/>
        <family val="3"/>
      </rPr>
      <t xml:space="preserve">
Normatividad aplicable en condiciones generales de trabajo y en materia de capacitación</t>
    </r>
  </si>
  <si>
    <r>
      <rPr>
        <b/>
        <sz val="11"/>
        <color theme="1"/>
        <rFont val="Soberana Sans Light"/>
        <family val="3"/>
      </rPr>
      <t>LEY GENERAL DE TURISMO. 2013</t>
    </r>
    <r>
      <rPr>
        <sz val="11"/>
        <color theme="1"/>
        <rFont val="Soberana Sans Light"/>
        <family val="3"/>
      </rPr>
      <t xml:space="preserve">
Inscripción ante el Registro Nacional de Turismo</t>
    </r>
  </si>
  <si>
    <r>
      <rPr>
        <b/>
        <sz val="11"/>
        <color theme="1"/>
        <rFont val="Soberana Sans Light"/>
        <family val="3"/>
      </rPr>
      <t>LEY FEDERAL DE PROTECCIÓN AL CONSUMIDOR. 2012</t>
    </r>
    <r>
      <rPr>
        <sz val="11"/>
        <color theme="1"/>
        <rFont val="Soberana Sans Light"/>
        <family val="3"/>
      </rPr>
      <t xml:space="preserve">
Registro del Contrato de Adhesión y Prestación de Servicios ante la Procuraduría Federal del Consumidor</t>
    </r>
  </si>
  <si>
    <r>
      <rPr>
        <b/>
        <sz val="11"/>
        <color theme="1"/>
        <rFont val="Soberana Sans Light"/>
        <family val="3"/>
      </rPr>
      <t>LEY GENERAL PARA PREVENIR, SANCIONAR Y ERRADICAR LOS DELITOS EN MATERIA DE TRATA DE PERSONAS Y PARA LA PROTECCIÓN Y ASISTENCIA A LAS VÍCTIMAS DE ESTOS DELITOS</t>
    </r>
    <r>
      <rPr>
        <sz val="11"/>
        <color theme="1"/>
        <rFont val="Soberana Sans Light"/>
        <family val="3"/>
      </rPr>
      <t xml:space="preserve">
Establece las competencias y formas de coordinación para la prevención, investigación, persecución y sanción de los delitos en materia de trata de personas entre los Gobiernos Federal, Estatales, del Distrito Federal y Municipales</t>
    </r>
  </si>
  <si>
    <r>
      <rPr>
        <b/>
        <sz val="11"/>
        <color theme="1"/>
        <rFont val="Soberana Sans Light"/>
        <family val="3"/>
      </rPr>
      <t>LEY PARA LA PROTECCIÓN DE LOS DERECHOS DE NIÑAS, NIÑOS Y ADOLESCENTES</t>
    </r>
    <r>
      <rPr>
        <sz val="11"/>
        <color theme="1"/>
        <rFont val="Soberana Sans Light"/>
        <family val="3"/>
      </rPr>
      <t xml:space="preserve">
Tiene por objeto garantizar a niñas, niños y adolescentes la tutela y el respeto de los derechos fundamentales reconocidos en la Constitución</t>
    </r>
  </si>
  <si>
    <r>
      <rPr>
        <b/>
        <sz val="11"/>
        <color theme="1"/>
        <rFont val="Soberana Sans Light"/>
        <family val="3"/>
      </rPr>
      <t>LEY DE PROTECCIÓN DE DATOS PERSONALES EN POSESIÓN DE LOS PARTICULARES</t>
    </r>
    <r>
      <rPr>
        <sz val="11"/>
        <color theme="1"/>
        <rFont val="Soberana Sans Light"/>
        <family val="3"/>
      </rPr>
      <t xml:space="preserve">
Tiene por objeto la protección de los datos personales en posesión de los particulares, con la finalidad de regular su tratamiento legítimo, controlado e informado, a efecto de garantizar la privacidad y el derecho a la autodeterminación informativa de las personas.</t>
    </r>
  </si>
  <si>
    <r>
      <rPr>
        <b/>
        <sz val="11"/>
        <color theme="1"/>
        <rFont val="Soberana Sans Light"/>
        <family val="3"/>
      </rPr>
      <t>LEY PARA LA IGUALDAD ENTRE HOMBRES Y MUJERES</t>
    </r>
    <r>
      <rPr>
        <sz val="11"/>
        <color theme="1"/>
        <rFont val="Soberana Sans Light"/>
        <family val="3"/>
      </rPr>
      <t xml:space="preserve">
Tiene por objeto regular y garantizar la igualdad de oportunidades y de trato entre mujeres y hombres, proponer los lineamientos y mecanismos institucionales que orienten a la Nación hacia el cumplimiento de la igualdad sustantiva en los ámbitos público y privado, promoviendo el empoderamiento de las mujeres y la lucha contra toda discriminación basada en el sexo. </t>
    </r>
  </si>
  <si>
    <r>
      <t xml:space="preserve">NOM-001-STPS-2008
</t>
    </r>
    <r>
      <rPr>
        <sz val="11"/>
        <color theme="1"/>
        <rFont val="Soberana Sans Light"/>
        <family val="3"/>
      </rPr>
      <t>Edificios, locales, instalaciones y áreas en los centros de trabajo - Condiciones de seguridad.</t>
    </r>
  </si>
  <si>
    <r>
      <rPr>
        <b/>
        <sz val="11"/>
        <color theme="1"/>
        <rFont val="Soberana Sans Light"/>
        <family val="3"/>
      </rPr>
      <t xml:space="preserve">NOM-019-STPS-2011
</t>
    </r>
    <r>
      <rPr>
        <sz val="11"/>
        <color theme="1"/>
        <rFont val="Soberana Sans Light"/>
        <family val="3"/>
      </rPr>
      <t>Constitución, integración, organización y funcionamiento de las comisiones de seguridad e higiene.</t>
    </r>
  </si>
  <si>
    <r>
      <rPr>
        <b/>
        <sz val="11"/>
        <color theme="1"/>
        <rFont val="Soberana Sans Light"/>
        <family val="3"/>
      </rPr>
      <t xml:space="preserve">NOM-021-STPS-1993
</t>
    </r>
    <r>
      <rPr>
        <sz val="11"/>
        <color theme="1"/>
        <rFont val="Soberana Sans Light"/>
        <family val="3"/>
      </rPr>
      <t>Relativa a los requerimientos y características de los informes de los riesgos de trabajo que ocurran, para integrar las estadísticas.</t>
    </r>
  </si>
  <si>
    <r>
      <rPr>
        <b/>
        <sz val="11"/>
        <color theme="1"/>
        <rFont val="Soberana Sans Light"/>
        <family val="3"/>
      </rPr>
      <t xml:space="preserve">NOM-021-STPS-1993
</t>
    </r>
    <r>
      <rPr>
        <sz val="11"/>
        <color theme="1"/>
        <rFont val="Soberana Sans Light"/>
        <family val="3"/>
      </rPr>
      <t>Relativa a los requerimientos, características de los informes de los riesgos de trabajo que ocurran, para integrar las estadísticas.</t>
    </r>
  </si>
  <si>
    <r>
      <rPr>
        <b/>
        <sz val="11"/>
        <color theme="1"/>
        <rFont val="Soberana Sans Light"/>
        <family val="3"/>
      </rPr>
      <t xml:space="preserve">NOM-022-STPS-2008
</t>
    </r>
    <r>
      <rPr>
        <sz val="11"/>
        <color theme="1"/>
        <rFont val="Soberana Sans Light"/>
        <family val="3"/>
      </rPr>
      <t>Electricidad estática en los centros de trabajo.- Condiciones de seguridad e higiene.</t>
    </r>
  </si>
  <si>
    <r>
      <rPr>
        <b/>
        <sz val="11"/>
        <color theme="1"/>
        <rFont val="Soberana Sans Light"/>
        <family val="3"/>
      </rPr>
      <t xml:space="preserve">NOM-026-STPS-2008
</t>
    </r>
    <r>
      <rPr>
        <sz val="11"/>
        <color theme="1"/>
        <rFont val="Soberana Sans Light"/>
        <family val="3"/>
      </rPr>
      <t>Colores y señales de seguridad e higiene, e identificación de riesgos por fluidos conducidos en tuberías.</t>
    </r>
  </si>
  <si>
    <r>
      <rPr>
        <b/>
        <sz val="11"/>
        <color theme="1"/>
        <rFont val="Soberana Sans Light"/>
        <family val="3"/>
      </rPr>
      <t xml:space="preserve">NOM-029-STPS-2011
</t>
    </r>
    <r>
      <rPr>
        <sz val="11"/>
        <color theme="1"/>
        <rFont val="Soberana Sans Light"/>
        <family val="3"/>
      </rPr>
      <t>Mantenimiento de las instalaciones eléctricas en los centros de trabajo. Condiciones de seguridad.</t>
    </r>
  </si>
  <si>
    <r>
      <rPr>
        <b/>
        <sz val="11"/>
        <color theme="1"/>
        <rFont val="Soberana Sans Light"/>
        <family val="3"/>
      </rPr>
      <t xml:space="preserve">NOM-030-STPS-2009, 
</t>
    </r>
    <r>
      <rPr>
        <sz val="11"/>
        <color theme="1"/>
        <rFont val="Soberana Sans Light"/>
        <family val="3"/>
      </rPr>
      <t>Servicios preventivos de seguridad y salud en el trabajo-Funciones y actividades.</t>
    </r>
  </si>
  <si>
    <r>
      <t xml:space="preserve">NOM-003-SEGOB-2011
</t>
    </r>
    <r>
      <rPr>
        <sz val="11"/>
        <color theme="1"/>
        <rFont val="Soberana Sans Light"/>
        <family val="3"/>
      </rPr>
      <t>Señales y avisos para protección civil.- Colores, formas y símbolos a utilizar</t>
    </r>
  </si>
  <si>
    <r>
      <rPr>
        <b/>
        <sz val="11"/>
        <color theme="1"/>
        <rFont val="Soberana Sans Light"/>
        <family val="3"/>
      </rPr>
      <t xml:space="preserve">NOM-010-TUR-2001
</t>
    </r>
    <r>
      <rPr>
        <sz val="11"/>
        <color theme="1"/>
        <rFont val="Soberana Sans Light"/>
        <family val="3"/>
      </rPr>
      <t>De los requisitos que deben contener los contratos que celebren los prestadores de servicios turísticos con los usuarios-Turistas. (Cancela la Norma Oficial Mexicana NOM-010-TUR-1999).</t>
    </r>
  </si>
  <si>
    <r>
      <rPr>
        <b/>
        <sz val="11"/>
        <color theme="1"/>
        <rFont val="Soberana Sans Light"/>
        <family val="3"/>
      </rPr>
      <t xml:space="preserve">NOM-11-TUR-2001
</t>
    </r>
    <r>
      <rPr>
        <sz val="11"/>
        <color theme="1"/>
        <rFont val="Soberana Sans Light"/>
        <family val="3"/>
      </rPr>
      <t>Requisitos de seguridad, información y operación que deben cumplir los prestadores de servicios turísticos de turismo de aventura.</t>
    </r>
  </si>
  <si>
    <r>
      <t xml:space="preserve">NOM-015-SSA3-2012 
</t>
    </r>
    <r>
      <rPr>
        <sz val="11"/>
        <color theme="1"/>
        <rFont val="Soberana Sans Light"/>
        <family val="3"/>
      </rPr>
      <t>Para la atención integral a personas con discapacidad.</t>
    </r>
  </si>
  <si>
    <t>NMX-TT-010-IMNC-2008.
NMX-CC-9001-IMNC-2008  (Equivalente nacional de ISO 9001:2008.
Distintivo “Moderniza I”
Distintivo “Moderniza II”
Distintivo Empresa Familiarmente Responsable
NMX-R-025-SCFI-2012
NMX-SAST-26000-IMNC-2011
Distintivo Empresa Incluyente “Gilberto Rincón Gallardo”</t>
  </si>
  <si>
    <t>NMX-CC-9001-IMNC-2008  (Equivalente nacional de ISO 9001:2008).
NMX-CC-9004-IMNC-2009
Distintivo “Moderniza I”
Distintivo “Moderniza II”
Distintivo Empresa Familiarmente Responsable
NMX-SAST-26000-IMNC-2011
Distintivo Empresa Incluyente “Gilberto Rincón Gallardo”</t>
  </si>
  <si>
    <t>NMX-TT-010-IMNC-2008.
NMX-CC-9001-IMNC-2008  (Equivalente nacional de ISO 9001:2008.
NMX-CC-9004-IMNC-2009
Distintivo “Moderniza I”
Distintivo “Moderniza II”
Distintivo Empresa Familiarmente Responsable
NMX-R-025-SCFI-2012
NMX-SAST-26000-IMNC-2011
Sello de Calidad “Punto Limpio”
Distintivo Empresa Incluyente “Gilberto Rincón Gallardo”</t>
  </si>
  <si>
    <t>NMX-TT-010-IMNC-2008.
NMX-CC-9001-IMNC-2008  (Equivalente nacional de ISO 9001:2008.
NMX-CC-9004-IMNC-2009
Distintivo “Moderniza I”
Contrato Tipo de Mediación para la Prestación de Servicios Turísticos (PROFECO)
Distintivo “Moderniza II”
Distintivo Empresa Familiarmente Responsable
NMX-SAST-26000-IMNC-2011
Distintivo Empresa Incluyente “Gilberto Rincón Gallardo”</t>
  </si>
  <si>
    <t>NMX-R-025-SCFI-2012
Sello de Calidad “Punto Limpio”</t>
  </si>
  <si>
    <t>NMX-CC-9001-IMNC-2008  (Equivalente nacional de ISO 9001:2008).
NMX-R-050-SCFI-2006.
Distintivo Empresa Familiarmente Responsable
NMX-R-025-SCFI-2012
NMX-SAST-26000-IMNC-2011
Distintivo Empresa Incluyente “Gilberto Rincón Gallardo”.</t>
  </si>
  <si>
    <t>Distintivo Empresa Familiarmente Responsable
NMX-SAST-26000-IMNC-2011
Sello de Calidad “Punto Limpio”
Distintivo Empresa Incluyente “Gilberto Rincón Gallardo”</t>
  </si>
  <si>
    <t>Distintivo Empresa Familiarmente Responsable
NMX-R-025-SCFI-2012
NMX-SAST-26000-IMNC-2011
Distintivo Empresa Incluyente “Gilberto Rincón Gallardo”</t>
  </si>
  <si>
    <t>NMX-R-050-SCFI-2006
NMX-SAST-26000-IMNC-2011
Distintivo Empresa Incluyente “Gilberto Rincón Gallardo”</t>
  </si>
  <si>
    <t>NMX-SAST-26000-IMNC-2011</t>
  </si>
  <si>
    <t>NMX-CC-9001-IMNC-2008  (Equivalente nacional de ISO 9001:2008.
NMX-CC-9004-IMNC-2009
NMX-R-050-SCFI-2006
NMX-R-025-SCFI-2012
NMX-SAST-26000-IMNC-2011
Sello de Calidad “Punto Limpio”</t>
  </si>
  <si>
    <t>NMX-CC-9001-IMNC-2008  (Equivalente nacional de ISO 9001:2008).</t>
  </si>
  <si>
    <t>NMX-TT-010-IMNC-2008.
NMX-CC-9001-IMNC-2008  (Equivalente nacional de ISO 9001:2008.
NMX-CC-9004-IMNC-2009
Distintivo “Moderniza I”
Distintivo “Moderniza II”
Distintivo Empresa Familiarmente Responsable
NMX-R-025-SCFI-2012
NMX-SAST-26000-IMNC-2011
Sello de Calidad “Punto Limpio”.
Distintivo “S”
Distintivo Empresa Incluyente “Gilberto Rincón Gallardo”.</t>
  </si>
  <si>
    <t>NMX-CC-9001-IMNC-2008  (Equivalente nacional de ISO 9001:2008.
NMX-CC-9004-IMNC-2009
Distintivo “Moderniza I”
Distintivo “Moderniza II”
NMX-SAST-26000-IMNC-2011
Distintivo “S”
Distintivo Empresa Incluyente “Gilberto Rincón Gallardo”.</t>
  </si>
  <si>
    <t>NMX-CC-9001-IMNC-2008  (Equivalente nacional de ISO 9001:2008.
NMX-CC-9004-IMNC-2009
Distintivo “Moderniza I”
Contrato Tipo de Mediación para la Prestación de Servicios Turísticos (PROFECO).
Distintivo “Moderniza II”
Distintivo Empresa Familiarmente Responsable
NMX-R-025-SCFI-2012
NMX-SAST-26000-IMNC-2011</t>
  </si>
  <si>
    <t>NMX-CC-9001-IMNC-2008  (Equivalente nacional de ISO 9001:2008.
NMX-CC-9004-IMNC-2009
Contrato Tipo de Mediación para la Prestación de Servicios Turísticos (PROFECO).
Distintivo “Moderniza II”
NMX-SAST-26000-IMNC-2011</t>
  </si>
  <si>
    <t>NMX-CC-9001-IMNC-2008  (Equivalente nacional de ISO 9001:2008.
NMX-CC-9004-IMNC-2009
Distintivo “S”</t>
  </si>
  <si>
    <t>NMX-TT-010-IMNC-2008
Distintivo “Moderniza I”
Distintivo “Moderniza II”</t>
  </si>
  <si>
    <t>NMX-CC-9001-IMNC-2008  (Equivalente nacional de ISO 9001:2008.
NMX-CC-9004-IMNC-2009
Distintivo “Moderniza I”
Contrato Tipo de Mediación para la Prestación de Servicios Turísticos (PROFECO).
Distintivo “Moderniza II”
NMX-SAST-26000-IMNC-2011.
Distintivo “S”</t>
  </si>
  <si>
    <t>NMX-CC-9004-IMNC-2009
Contrato Tipo de Mediación para la Prestación de Servicios Turísticos (PROFECO).
NMX-SAST-26000-IMNC-2011.
Distintivo “S”.</t>
  </si>
  <si>
    <t>NMX-TT-010-IMNC-2008.
NMX-CC-9001-IMNC-2008  (Equivalente nacional de ISO 9001:2008.
NMX-CC-9004-IMNC-2009
Distintivo “Moderniza I”
Contrato Tipo de Mediación para la Prestación de Servicios Turísticos (PROFECO).
Distintivo “Moderniza II”
NMX-SAST-26000-IMNC-2011</t>
  </si>
  <si>
    <t>NMX-TT-010-IMNC-2008.
Distintivo “Moderniza I”
Distintivo “Moderniza II”
NMX-SAST-26000-IMNC-2011
Distintivo “S”.</t>
  </si>
  <si>
    <t>NMX-CC-9004-IMNC-2009
Distintivo “Moderniza II”
NMX-SAST-26000-IMNC-2011</t>
  </si>
  <si>
    <t>NMX-SAST-26000-IMNC-2011.</t>
  </si>
  <si>
    <t>NMX-TT-010-IMNC-2008.
NMX-CC-9001-IMNC-2008  (Equivalente nacional de ISO 9001:2008.
NMX-CC-9004-IMNC-2009
Distintivo “Moderniza I”
Contrato Tipo de Mediación para la Prestación de Servicios Turísticos (PROFECO).
Distintivo “Moderniza II”
Distintivo Empresa Familiarmente Responsable
NMX-R-025-SCFI-2012
NMX-R-050-SCFI-2006
NMX-SAST-26000-IMNC-2011.
Sello de Calidad “Punto Limpio”
Distintivo “S”.
Distintivo Empresa Incluyente “Gilberto Rincón Gallardo”</t>
  </si>
  <si>
    <t>NMX-TT-010-IMNC-2008.
NMX-CC-9004-IMNC-2009
Distintivo “Moderniza I”
Distintivo “Moderniza II”
NMX-SAST-26000-IMNC-2011.
Sello de Calidad “Punto Limpio”
Distintivo “S”.</t>
  </si>
  <si>
    <t>NMX-CC-9001-IMNC-2008  (Equivalente nacional de ISO 9001:2008.
NMX-CC-9004-IMNC-2009
Distintivo “Moderniza I”
Distintivo “Moderniza II”
NMX-SAST-26000-IMNC-2011.
Distintivo “S”.
NMX-AA-171-SCFI-2013</t>
  </si>
  <si>
    <t>NMX-CC-9004-IMNC-2009
NMX-SAST-26000-IMNC-2011.
Distintivo “S”.</t>
  </si>
  <si>
    <t>NMX-CC-9001-IMNC-2008  (Equivalente nacional de ISO 9001:2008.
NMX-CC-9004-IMNC-2009
Distintivo “Moderniza I”
Distintivo “Moderniza II”
NMX-SAST-26000-IMNC-2011.
Sello de Calidad “Punto Limpio”
Distintivo “S”.</t>
  </si>
  <si>
    <t>Es requisito indispensable contar con el marco normativo y legal del subsector de Agencias de Viajes para integrarse al Sistema Nacional de Certificación Turística.</t>
  </si>
  <si>
    <t>Documentado y publicado</t>
  </si>
  <si>
    <t>PORCENTAJE MÍNIMO DE CADA UNO DE LOS FACTORES DE LA GUÍA DE EVALUACIÓN DEL SUBSECTOR HOSPEDAJE</t>
  </si>
  <si>
    <t>Prestador de servicios turísticos</t>
  </si>
  <si>
    <t>Factores evaluados</t>
  </si>
  <si>
    <t>Puntaje máximo a alcanzar</t>
  </si>
  <si>
    <t>Puntaje obtenido</t>
  </si>
  <si>
    <t>% equivalente al puntaje obtenido</t>
  </si>
  <si>
    <t>Gobernanza de la organización</t>
  </si>
  <si>
    <t xml:space="preserve">Derechos humanos </t>
  </si>
  <si>
    <t>Diagnóstico</t>
  </si>
  <si>
    <t>El establecimiento cuenta con misión, visión y valores.</t>
  </si>
  <si>
    <t>Cuenta con misión, visión y valores y están asociados a la calidad.</t>
  </si>
  <si>
    <t>Se cuenta con un plan de negocio o estratégico que es evaluado y retroalimentado para fortalecer las áreas del establecimiento</t>
  </si>
  <si>
    <r>
      <t xml:space="preserve">Se cuenta con un consejo </t>
    </r>
    <r>
      <rPr>
        <sz val="9"/>
        <color rgb="FFFF0000"/>
        <rFont val="Soberana Sans Light"/>
        <family val="3"/>
      </rPr>
      <t>y/o comité</t>
    </r>
    <r>
      <rPr>
        <sz val="9"/>
        <color theme="1"/>
        <rFont val="Soberana Sans Light"/>
        <family val="3"/>
      </rPr>
      <t xml:space="preserve"> de administración, directivo o familiar que opera formalmente</t>
    </r>
  </si>
  <si>
    <t>Se cuenta con un registro vigente y se participa en las reuniones de la Asociación o agrupación del subsector.</t>
  </si>
  <si>
    <t>Se lleva a cabo el intercambio de experiencias de mejores prácticas con establecimientos del mismo giro para fortalecer la calidad del servicio que se presta</t>
  </si>
  <si>
    <t>NMX-TT-010-IMNC-2008.
NMX-CC-9001-IMNC-2008  (Equivalente nacional de ISO 9001:2008.
NMX-CC-9004-IMNC-2009
Distintivo “Moderniza I”
Distintivo “Moderniza II”
Distintivo Empresa Familiarmente Responsable
NMX-R-025-SCFI-2012
NMX-SAST-26000-IMNC-2011
Distintivo Empresa Incluyente “Gilberto Rincón Gallardo”</t>
  </si>
  <si>
    <t>Cuenta con un manual y políticas de RSE</t>
  </si>
  <si>
    <t>Se presentan resultados del establecimiento.</t>
  </si>
  <si>
    <t>Cuenta la organización con procesos para involucrar a los colaboradores en las decisiones de la gerencia.</t>
  </si>
  <si>
    <t>Implementa políticas que promueven la igualdad de oportunidades en todos sus ámbitos y respeta los derechos humanos de todos sus trabajadores</t>
  </si>
  <si>
    <t>Lleva a cabo el establecimiento actividades sociales en las cuales participen los colaboradores y sus familias</t>
  </si>
  <si>
    <r>
      <t xml:space="preserve">NMX-R-025-SCFI-2012
NMX-SAST-26000-IMNC-2011                           </t>
    </r>
    <r>
      <rPr>
        <sz val="9"/>
        <color rgb="FFFF0000"/>
        <rFont val="Soberana Sans Light"/>
        <family val="3"/>
      </rPr>
      <t xml:space="preserve">Distintivo M II </t>
    </r>
  </si>
  <si>
    <t>Se informa de los resultados financieros a los accionistas o inversionistas</t>
  </si>
  <si>
    <t>Se cuenta con una política de selección de proveedores..</t>
  </si>
  <si>
    <t>Se tiene un procedimiento para gestionar compras.</t>
  </si>
  <si>
    <t>Promueve la transparencia en la información al consumidor de los posibles riesgos de los productos o servicios.</t>
  </si>
  <si>
    <t>Cuenta con una política de compensación en caso de incumplimiento de los servicios y productos.</t>
  </si>
  <si>
    <t>Cuenta con un procedimiento público para la resolución de quejas y controversias</t>
  </si>
  <si>
    <t>Contrata personas de la localidad.</t>
  </si>
  <si>
    <t>Cumple con las leyes, reglamentos, normas y lineamientos que son el marco jurídico del establecimiento</t>
  </si>
  <si>
    <t>Se prohíbe expresamente la utilización de prácticas ilegales, tales como: corrupción, soborno, cohecho, extorsión, doble contabilidad, para obtener ventajas económicas</t>
  </si>
  <si>
    <t>Cuenta con una política para que los colaboradores no excedan el máximo del tiempo laborable.</t>
  </si>
  <si>
    <t>La organización cuenta con un programa y/o Comisión Mixta de Seguridad e Higiene y Actas de Recorrido</t>
  </si>
  <si>
    <t>Establece políticas que limiten a los colaboradores la aceptación de favores a cambio de beneficios para el mismo.</t>
  </si>
  <si>
    <t>Se llevan a cabo acciones de verificación de acuerdo a los valores declarados.</t>
  </si>
  <si>
    <t>El consejo y/o comité opera con normas y procedimientos formales</t>
  </si>
  <si>
    <t>La estructura u organigrama del consejo y/o comité incluye responsables de políticas y acciones relacionadas con las cuestiones éticas y sociales del establecimiento</t>
  </si>
  <si>
    <t>Cuenta con manual de organización y el organigrama con enfoque a RSE</t>
  </si>
  <si>
    <t>Promueve que el establecimiento tenga condiciones de  accesibilidad para personas con discapacidad</t>
  </si>
  <si>
    <t>Cuenta con un procedimiento público de reclamación y resolución de quejas y controversia, ágil y accesible que difunde ante sus clientes</t>
  </si>
  <si>
    <t>Cuenta con plan de mercadotecnia y/o publicidad para incrementar las ventas</t>
  </si>
  <si>
    <t>La publicidad que realiza (directa o indirecta) es sometida a revisión de la Procuraduría Federal del Consumidor y no genera falsas expectativas</t>
  </si>
  <si>
    <t>Cuenta con los registros contables necesarios que aseguren el cumplimiento mínimo en materia ambiental</t>
  </si>
  <si>
    <t>Utiliza al menos dos de los siguientes tipos de dispositivos: apagado automático, interruptores de presencia, desactivado de circuitos y/o sensores.</t>
  </si>
  <si>
    <r>
      <t xml:space="preserve">El Sistema Nacional de Certificación Turística integra distintivos, sellos y reconocimientos otorgados por la Secretaría de Turismo a los prestadores de servicios turísticos y/o destinos turísticos que se distinguen por adoptar mejores prácticas en sus procesos o altos estándares en sus servicios, a través de un proceso de autoevaluación y supervisión por parte de la propia Secretaría. Asimismo, integra otras certificaciones y reconocimientos nacionales e internacionales otorgados por otras dependencias de gobierno, organizaciones, instituciones, etc. 
El Sistema Nacional de Certificación Turística es un conjunto de mecanismos e instrumentos para definir y aplicar criterios y estándares dirigidos a asegurar la calidad en la provisión de servicios turísticos, mediante el otorgamiento del </t>
    </r>
    <r>
      <rPr>
        <b/>
        <sz val="11"/>
        <color theme="1"/>
        <rFont val="Soberana Sans Light"/>
        <family val="3"/>
      </rPr>
      <t>Distintivo Nacional de Calidad Turística.</t>
    </r>
  </si>
  <si>
    <t>Para ingresar al Sistema Nacional de Certificación Turística es  obligatorio requisitar la Solicitud de Adhesión correspondiente, por lo que es indispensable estar inscrito ante el Registro Nacional de Turismo. Posteriormente deberá llenar la Guía de Evaluación del subsector, por lo que es necesario cumplir con el marco legal y normativo.
Se debe seleccionar un grado de cumplimiento (NE, ID, DO, DP, DI o MR) para cada requisito solicitado y posteriormente ir a la pestaña de referentes y seleccionar los distintivos, certificaciones, sellos, etc., que tiene vigentes el prestador de servicios turísticos e indicar con cuales cuenta su establecimiento, al finalizar dicho proceso, seleccionar la pestaña “Calificación” para conocer  el puntaje y nivel de calidad alcanzado.</t>
  </si>
  <si>
    <t>El valor que corresponde a cada requisito se distribuyó entre seis criterios de cumplimiento:</t>
  </si>
  <si>
    <t>Criterio</t>
  </si>
  <si>
    <t>Significado</t>
  </si>
  <si>
    <t>Descripción del criterio</t>
  </si>
  <si>
    <t>Peso porcentual</t>
  </si>
  <si>
    <t>No existe la evidencia</t>
  </si>
  <si>
    <t>Documentado</t>
  </si>
  <si>
    <t>El Sujeto cuenta sólo con un documento que le permitirá en un futuro realizar de manera sistemática sus actividades, pero aún no lo difunde al interior de su organización.</t>
  </si>
  <si>
    <t>IM</t>
  </si>
  <si>
    <t>Implementado no documentado</t>
  </si>
  <si>
    <t>Documentado e implementado</t>
  </si>
  <si>
    <t>Medición de resultados</t>
  </si>
  <si>
    <t xml:space="preserve">SOLICITUD DE ADHESIÓN DEL SNCT
PRESTADORES DE SERVICIOS TURÍSTICOS
(PERSONA MORAL O PERSONA FÍSICA CON ACTIVIDAD EMPRESARIAL)
 </t>
  </si>
  <si>
    <t>La presente Solicitud de Adhesión es para llevar a cabo de manera voluntaria el ingreso al Sistema Nacional de Certificación Turística, con la finalidad de obtener el Distintivo Nacional de Calidad Turística conforme al nivel de calidad alcanzado.
El Distintivo Nacional de Calidad Turística se podrá obtener a través de dos vías; realizando el prestador de servicios turísticos su diagnóstico de inicio sin implementar la metodología de intervención, siempre y cuando no requiera elevar el nivel de calidad y, a través de la intervención de una Unidad Promotora de la Calidad y Sustentabilidad de los Servicios Turísticos cuando requiera implementar la metodología de intervención para elaborar su plan de acción e incrementar su nivel de calidad. Es importante mencionar que ambas vías están sujetas a una auditoría por parte de un organismo dictaminador para validar el nivel de calidad alcanzado y, de esta manera hacer transparente el proceso de obtención del Distintivo.</t>
  </si>
  <si>
    <t>DATOS GENERALES DEL PRESTADOR DE SERVICIOS TURÍSTICOS</t>
  </si>
  <si>
    <t>Fecha</t>
  </si>
  <si>
    <t>No. de proceso en el SNCT</t>
  </si>
  <si>
    <t>Tipo de proceso</t>
  </si>
  <si>
    <t>Certificación</t>
  </si>
  <si>
    <t>Renovación</t>
  </si>
  <si>
    <t xml:space="preserve">RNT Folio* </t>
  </si>
  <si>
    <t>Nombre Comercial</t>
  </si>
  <si>
    <t>Razón Social</t>
  </si>
  <si>
    <t>Subsector</t>
  </si>
  <si>
    <t>Giro</t>
  </si>
  <si>
    <t>Página web</t>
  </si>
  <si>
    <t>Facebook</t>
  </si>
  <si>
    <t>Teléfono</t>
  </si>
  <si>
    <t>Tamaño de la empresa</t>
  </si>
  <si>
    <t>Micro</t>
  </si>
  <si>
    <t>Pequeña</t>
  </si>
  <si>
    <t>Mediana</t>
  </si>
  <si>
    <t>Grande</t>
  </si>
  <si>
    <t>Número de trabajadores</t>
  </si>
  <si>
    <t>Mujeres</t>
  </si>
  <si>
    <t>Hombres</t>
  </si>
  <si>
    <t xml:space="preserve">Personas con discapacidad </t>
  </si>
  <si>
    <t>Dirección</t>
  </si>
  <si>
    <t>Calle, número exterior y número interior</t>
  </si>
  <si>
    <t>Entre las calles</t>
  </si>
  <si>
    <t>Colonia</t>
  </si>
  <si>
    <t>Delegación/ Municipio</t>
  </si>
  <si>
    <t>Código Postal</t>
  </si>
  <si>
    <t>Entidad federativa</t>
  </si>
  <si>
    <t>DATOS DEL PROPIETARIO Y/O REPRESENTANTE LEGAL</t>
  </si>
  <si>
    <t>Nombre (s), apellido paterno, apellido materno</t>
  </si>
  <si>
    <t>Cargo</t>
  </si>
  <si>
    <t>CURP</t>
  </si>
  <si>
    <t>Celular</t>
  </si>
  <si>
    <t>Correo electrónico</t>
  </si>
  <si>
    <t>EL PRESTADOR DE SERVICIOS TURÍSTICOS:</t>
  </si>
  <si>
    <t>N/A</t>
  </si>
  <si>
    <t>Cuenta con alta en la Secretaría de Hacienda y Crédito Público</t>
  </si>
  <si>
    <t>Cuenta con inscripción del registro empresarial ante el IMSS</t>
  </si>
  <si>
    <t>Cumple con la normatividad medio ambiental vigente</t>
  </si>
  <si>
    <t>Cumple con normas oficiales mexicanas aplicables en el subsector</t>
  </si>
  <si>
    <t>Cuenta con multas, quejas, reclamos, sanciones u observaciones, pendientes de cumplimentar, como resultado de inspecciones realizadas por autoridades, tales como PROFECO, STPS, IMSS, SEGOB, COFEPRIS, otras (especificar en observaciones)</t>
  </si>
  <si>
    <t>Cuenta con su Constancia de Clasificación Hotelera (indique su número de Constancia en observaciones) **</t>
  </si>
  <si>
    <t>En virtud que la información contenida en la presente solicitud es confidencial, de conformidad con lo dispuesto por los artículos 116 y 120 de la Ley General de Transparencia y Acceso a la Información Pública, manifiesto que otorgo mi consentimiento para su difusión o distribución en caso de ser solicitada al amparo del referido ordenamiento legal.</t>
  </si>
  <si>
    <t>Declaro bajo protesta de decir verdad y apercibido que las penas en que incurren las personas que declaran con falsedad ante una autoridad distinta de la judicial, en los términos de lo dispuesto por el artículo 247, fracción I del Código Penal Federal, que la información asentada en la presente solicitud es verdadera y los documentos que se anexan al mismo son auténticos.</t>
  </si>
  <si>
    <t>De conformidad con lo dispuesto en el artículo 35, fracción II de la Ley Federal de Procedimiento Administrativo, manifiesto expresamente mi conformidad para recibir notificaciones a través del correo electrónico proporcionado para tal efecto.</t>
  </si>
  <si>
    <t>*No aplica para el subsector de convenciones, ferias y exposiciones.</t>
  </si>
  <si>
    <t>**Aplica únicamente para el subsector de hospedaje</t>
  </si>
  <si>
    <t>MANIFIESTO DE CONFORMIDAD</t>
  </si>
  <si>
    <t xml:space="preserve">NOMBRE COMPLETO Y FIRMA DEL PROPIETARIO Y/O REPRESENTANTE LEGAL </t>
  </si>
  <si>
    <t>El Sujeto no cuenta con la evidencia.</t>
  </si>
  <si>
    <t>El Sujeto cuenta con documentación soporte que le permitirá realizar de manera sistemática sus actividades y la difunde entre los miembros de la organización con el propósito de darla a conocer e involucrarlos en los procesos o planes que se vayan a estructurar, pero aún no lo implementa.</t>
  </si>
  <si>
    <t>El Sujeto realiza las actividades en la organización pero no ha generado documentación o evidencias que garanticen mantener el proceso bajo condiciones controladas.</t>
  </si>
  <si>
    <t>El Sujeto tiene definido y lleva a cabo un plan o proceso imprescindible para organizar lo que se hace, medirlo y mejorarlo. Cuenta con la documentación soporte de los procesos, permitiendo garantizar la eficacia y repetitividad de los mismos, pero aún no cuenta con algún Referente que avale su cumplimiento.</t>
  </si>
  <si>
    <t>El Sujeto cuenta con procesos sistemáticos, continuos, medibles y recurrentes o cíclicos, que utilizan la medición de indicadores como elemento de mejora, sobre todo para elevar la productividad en una organización, es decir, cuenta con Referentes vigentes.</t>
  </si>
  <si>
    <t>TABLA DE PUNTUACIÓN</t>
  </si>
  <si>
    <t>Factores</t>
  </si>
  <si>
    <t>Peso Porcentual</t>
  </si>
  <si>
    <t>Puntos asignados</t>
  </si>
  <si>
    <t>Derechos humanos de los trabajadores</t>
  </si>
  <si>
    <t>Desarrollo social y  comunitario</t>
  </si>
  <si>
    <t>Suma</t>
  </si>
  <si>
    <t>NIVELES DE CALIDAD POR PUNTUACIÓN</t>
  </si>
  <si>
    <t>Nivel de calidad</t>
  </si>
  <si>
    <t>Clasificación</t>
  </si>
  <si>
    <t>Puntos</t>
  </si>
  <si>
    <t>Bronce</t>
  </si>
  <si>
    <t>De 700 a 1,000</t>
  </si>
  <si>
    <t>Plata</t>
  </si>
  <si>
    <t xml:space="preserve">De 1,001 a 1,250 </t>
  </si>
  <si>
    <t>Oro</t>
  </si>
  <si>
    <t xml:space="preserve">De 1,251 a 1,500 </t>
  </si>
  <si>
    <t>Platino</t>
  </si>
  <si>
    <t>De 1,501 a 1,750</t>
  </si>
  <si>
    <t>Diamante</t>
  </si>
  <si>
    <t>De 1,751 a 2,000</t>
  </si>
  <si>
    <t>PORCENTAJES MÍNIMOS A CUBRIR EN CADA FACTOR</t>
  </si>
  <si>
    <r>
      <t>I.</t>
    </r>
    <r>
      <rPr>
        <b/>
        <sz val="12"/>
        <color theme="1"/>
        <rFont val="Times New Roman"/>
        <family val="1"/>
      </rPr>
      <t xml:space="preserve">     </t>
    </r>
    <r>
      <rPr>
        <b/>
        <sz val="12"/>
        <color theme="1"/>
        <rFont val="Arial"/>
        <family val="2"/>
      </rPr>
      <t>Los porcentajes mínimos a cubrir en los factores son:</t>
    </r>
  </si>
  <si>
    <r>
      <t>a)</t>
    </r>
    <r>
      <rPr>
        <sz val="7"/>
        <color theme="1"/>
        <rFont val="Times New Roman"/>
        <family val="1"/>
      </rPr>
      <t xml:space="preserve">    </t>
    </r>
    <r>
      <rPr>
        <sz val="12"/>
        <color theme="1"/>
        <rFont val="Arial"/>
        <family val="2"/>
      </rPr>
      <t xml:space="preserve">Primer nivel de calidad (Bronce). Se encuentra ubicado entre el 35% y el 50% de esta puntuación; y en el que al menos se debe lograr el </t>
    </r>
    <r>
      <rPr>
        <sz val="16"/>
        <color rgb="FFFF0000"/>
        <rFont val="Arial"/>
        <family val="2"/>
      </rPr>
      <t>30%</t>
    </r>
    <r>
      <rPr>
        <sz val="12"/>
        <color theme="1"/>
        <rFont val="Arial"/>
        <family val="2"/>
      </rPr>
      <t xml:space="preserve"> de cumplimiento en cada uno de los factores.</t>
    </r>
  </si>
  <si>
    <r>
      <t>b)</t>
    </r>
    <r>
      <rPr>
        <sz val="7"/>
        <color theme="1"/>
        <rFont val="Times New Roman"/>
        <family val="1"/>
      </rPr>
      <t xml:space="preserve">    </t>
    </r>
    <r>
      <rPr>
        <sz val="12"/>
        <color theme="1"/>
        <rFont val="Arial"/>
        <family val="2"/>
      </rPr>
      <t>Segundo nivel de calidad (Plata). Se encuentra ubicado entre el 50.05% y el 62.50% de esta puntuación;</t>
    </r>
    <r>
      <rPr>
        <sz val="10"/>
        <color theme="1"/>
        <rFont val="Times New Roman"/>
        <family val="1"/>
      </rPr>
      <t xml:space="preserve"> </t>
    </r>
    <r>
      <rPr>
        <sz val="12"/>
        <color theme="1"/>
        <rFont val="Arial"/>
        <family val="2"/>
      </rPr>
      <t xml:space="preserve">y en el que al menos se debe lograr el </t>
    </r>
    <r>
      <rPr>
        <sz val="16"/>
        <color rgb="FFFF0000"/>
        <rFont val="Arial"/>
        <family val="2"/>
      </rPr>
      <t>40%</t>
    </r>
    <r>
      <rPr>
        <sz val="12"/>
        <color theme="1"/>
        <rFont val="Arial"/>
        <family val="2"/>
      </rPr>
      <t xml:space="preserve"> de cumplimiento en cada uno de los factores.</t>
    </r>
  </si>
  <si>
    <r>
      <t>c)</t>
    </r>
    <r>
      <rPr>
        <sz val="7"/>
        <color theme="1"/>
        <rFont val="Times New Roman"/>
        <family val="1"/>
      </rPr>
      <t xml:space="preserve">    </t>
    </r>
    <r>
      <rPr>
        <sz val="12"/>
        <color theme="1"/>
        <rFont val="Arial"/>
        <family val="2"/>
      </rPr>
      <t xml:space="preserve">Tercer nivel de calidad (Oro). Se encuentra ubicado entre el 62.55% y el 75% de esta puntuación; y en el que al menos se debe lograr el </t>
    </r>
    <r>
      <rPr>
        <sz val="16"/>
        <color rgb="FFFF0000"/>
        <rFont val="Arial"/>
        <family val="2"/>
      </rPr>
      <t>50%</t>
    </r>
    <r>
      <rPr>
        <sz val="12"/>
        <color theme="1"/>
        <rFont val="Arial"/>
        <family val="2"/>
      </rPr>
      <t xml:space="preserve"> de cumplimiento en cada uno de los factores.</t>
    </r>
  </si>
  <si>
    <r>
      <t>d)</t>
    </r>
    <r>
      <rPr>
        <sz val="7"/>
        <color theme="1"/>
        <rFont val="Times New Roman"/>
        <family val="1"/>
      </rPr>
      <t xml:space="preserve">    </t>
    </r>
    <r>
      <rPr>
        <sz val="12"/>
        <color theme="1"/>
        <rFont val="Arial"/>
        <family val="2"/>
      </rPr>
      <t xml:space="preserve">Cuarto nivel de calidad (Platino). Se encuentra ubicado entre el 75.05% y el 87.50% de esta puntuación; y en el que al menos se debe lograr el </t>
    </r>
    <r>
      <rPr>
        <sz val="16"/>
        <color rgb="FFFF0000"/>
        <rFont val="Arial"/>
        <family val="2"/>
      </rPr>
      <t>60%</t>
    </r>
    <r>
      <rPr>
        <sz val="12"/>
        <color theme="1"/>
        <rFont val="Arial"/>
        <family val="2"/>
      </rPr>
      <t xml:space="preserve"> de cumplimiento en cada uno de los factores, y</t>
    </r>
  </si>
  <si>
    <r>
      <t>e)</t>
    </r>
    <r>
      <rPr>
        <sz val="7"/>
        <color theme="1"/>
        <rFont val="Times New Roman"/>
        <family val="1"/>
      </rPr>
      <t xml:space="preserve">    </t>
    </r>
    <r>
      <rPr>
        <sz val="12"/>
        <color theme="1"/>
        <rFont val="Arial"/>
        <family val="2"/>
      </rPr>
      <t xml:space="preserve">Quinto nivel de calidad (Diamante). El porcentaje de puntuación para alcanzar este nivel es del 87.55% al 100%; y al menos se debe lograr el </t>
    </r>
    <r>
      <rPr>
        <sz val="16"/>
        <color rgb="FFFF0000"/>
        <rFont val="Arial"/>
        <family val="2"/>
      </rPr>
      <t>70%</t>
    </r>
    <r>
      <rPr>
        <sz val="12"/>
        <color theme="1"/>
        <rFont val="Arial"/>
        <family val="2"/>
      </rPr>
      <t xml:space="preserve"> de cumplimiento en cada uno de los factores.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</si>
</sst>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67" x14ac:knownFonts="1">
    <font>
      <sz val="11"/>
      <color theme="1"/>
      <name val="Calibri"/>
      <family val="2"/>
      <scheme val="minor"/>
    </font>
    <font>
      <sz val="11"/>
      <color theme="1"/>
      <name val="Soberana Titular"/>
      <family val="3"/>
    </font>
    <font>
      <sz val="10"/>
      <color theme="1"/>
      <name val="Soberana Titular"/>
      <family val="3"/>
    </font>
    <font>
      <sz val="10"/>
      <color theme="1"/>
      <name val="Calibri"/>
      <family val="2"/>
      <scheme val="minor"/>
    </font>
    <font>
      <b/>
      <sz val="11"/>
      <color theme="1"/>
      <name val="Calibri"/>
      <family val="2"/>
      <scheme val="minor"/>
    </font>
    <font>
      <sz val="9"/>
      <color theme="1"/>
      <name val="Soberana Sans Light"/>
      <family val="3"/>
    </font>
    <font>
      <sz val="8"/>
      <color rgb="FF000000"/>
      <name val="Soberana Sans Light"/>
      <family val="3"/>
    </font>
    <font>
      <b/>
      <sz val="9"/>
      <color theme="1"/>
      <name val="Soberana Sans Light"/>
      <family val="3"/>
    </font>
    <font>
      <b/>
      <sz val="20"/>
      <color theme="1"/>
      <name val="Soberana Sans Light"/>
      <family val="3"/>
    </font>
    <font>
      <sz val="11"/>
      <color theme="1"/>
      <name val="Soberana Sans Light"/>
      <family val="3"/>
    </font>
    <font>
      <sz val="10"/>
      <color theme="1"/>
      <name val="Soberana Sans Light"/>
      <family val="3"/>
    </font>
    <font>
      <b/>
      <sz val="11"/>
      <color rgb="FF000000"/>
      <name val="Soberana Sans Light"/>
      <family val="3"/>
    </font>
    <font>
      <b/>
      <sz val="10"/>
      <color theme="0"/>
      <name val="Soberana Sans Light"/>
      <family val="3"/>
    </font>
    <font>
      <sz val="10"/>
      <color theme="0"/>
      <name val="Soberana Sans Light"/>
      <family val="3"/>
    </font>
    <font>
      <b/>
      <sz val="12"/>
      <color theme="1"/>
      <name val="Soberana Sans Light"/>
      <family val="3"/>
    </font>
    <font>
      <sz val="9"/>
      <color rgb="FF000000"/>
      <name val="Soberana Sans Light"/>
      <family val="3"/>
    </font>
    <font>
      <b/>
      <sz val="10"/>
      <color theme="1"/>
      <name val="Soberana Sans Light"/>
      <family val="3"/>
    </font>
    <font>
      <sz val="9"/>
      <color theme="7" tint="-0.249977111117893"/>
      <name val="Soberana Sans Light"/>
      <family val="3"/>
    </font>
    <font>
      <sz val="9"/>
      <color theme="5" tint="-0.249977111117893"/>
      <name val="Soberana Sans Light"/>
      <family val="3"/>
    </font>
    <font>
      <sz val="9"/>
      <color theme="0" tint="-0.34998626667073579"/>
      <name val="Soberana Sans Light"/>
      <family val="3"/>
    </font>
    <font>
      <sz val="9"/>
      <color theme="1" tint="0.499984740745262"/>
      <name val="Soberana Sans Light"/>
      <family val="3"/>
    </font>
    <font>
      <sz val="9"/>
      <color theme="4" tint="0.39997558519241921"/>
      <name val="Soberana Sans Light"/>
      <family val="3"/>
    </font>
    <font>
      <b/>
      <sz val="11"/>
      <color theme="1"/>
      <name val="Soberana Sans Light"/>
      <family val="3"/>
    </font>
    <font>
      <sz val="10"/>
      <color theme="2"/>
      <name val="Soberana Sans Light"/>
      <family val="3"/>
    </font>
    <font>
      <b/>
      <sz val="16"/>
      <color theme="0"/>
      <name val="Soberana Titular"/>
      <family val="3"/>
    </font>
    <font>
      <b/>
      <sz val="20"/>
      <color theme="1"/>
      <name val="Soberana Titular"/>
      <family val="3"/>
    </font>
    <font>
      <b/>
      <sz val="14"/>
      <name val="Soberana Titular"/>
      <family val="3"/>
    </font>
    <font>
      <b/>
      <sz val="24"/>
      <name val="Soberana Titular"/>
      <family val="3"/>
    </font>
    <font>
      <sz val="16"/>
      <name val="Soberana Sans Light"/>
      <family val="3"/>
    </font>
    <font>
      <sz val="16"/>
      <color theme="1"/>
      <name val="Soberana Sans Light"/>
      <family val="3"/>
    </font>
    <font>
      <b/>
      <sz val="11"/>
      <color rgb="FF000000"/>
      <name val="Soberana Sans"/>
      <family val="3"/>
    </font>
    <font>
      <b/>
      <sz val="22"/>
      <color theme="1"/>
      <name val="Soberana Sans Ultra"/>
      <family val="3"/>
    </font>
    <font>
      <b/>
      <sz val="9"/>
      <color theme="1"/>
      <name val="Soberana Sans"/>
      <family val="3"/>
    </font>
    <font>
      <b/>
      <sz val="10"/>
      <color theme="1"/>
      <name val="Soberana Sans"/>
      <family val="3"/>
    </font>
    <font>
      <b/>
      <sz val="11"/>
      <color theme="1"/>
      <name val="Soberana Sans"/>
      <family val="3"/>
    </font>
    <font>
      <b/>
      <sz val="12"/>
      <color theme="0"/>
      <name val="Soberana Sans"/>
      <family val="3"/>
    </font>
    <font>
      <sz val="11"/>
      <color theme="0"/>
      <name val="Soberana Sans Light"/>
      <family val="3"/>
    </font>
    <font>
      <b/>
      <sz val="14"/>
      <color theme="1"/>
      <name val="Calibri"/>
      <family val="2"/>
      <scheme val="minor"/>
    </font>
    <font>
      <sz val="9"/>
      <color rgb="FFFFFFFF"/>
      <name val="Soberana Sans Light"/>
      <family val="3"/>
    </font>
    <font>
      <b/>
      <sz val="9"/>
      <color rgb="FF000000"/>
      <name val="Soberana Sans Light"/>
      <family val="3"/>
    </font>
    <font>
      <sz val="9"/>
      <color rgb="FFFF0000"/>
      <name val="Soberana Sans Light"/>
      <family val="3"/>
    </font>
    <font>
      <u/>
      <sz val="11"/>
      <color theme="11"/>
      <name val="Calibri"/>
      <family val="2"/>
      <scheme val="minor"/>
    </font>
    <font>
      <b/>
      <sz val="12"/>
      <name val="Soberana Sans Light"/>
      <family val="3"/>
    </font>
    <font>
      <sz val="9"/>
      <name val="Soberana Sans Light"/>
      <family val="3"/>
    </font>
    <font>
      <sz val="11"/>
      <color theme="1"/>
      <name val="Soberana Sanz light"/>
    </font>
    <font>
      <b/>
      <sz val="11"/>
      <color theme="1"/>
      <name val="Soberana Sanz light"/>
    </font>
    <font>
      <i/>
      <sz val="11"/>
      <color theme="1"/>
      <name val="Soberana Sanz light"/>
    </font>
    <font>
      <sz val="10"/>
      <color theme="1"/>
      <name val="Arial"/>
      <family val="2"/>
    </font>
    <font>
      <b/>
      <sz val="12"/>
      <name val="Soberana Titular"/>
      <family val="3"/>
    </font>
    <font>
      <sz val="11"/>
      <name val="Soberana Sans"/>
      <family val="3"/>
    </font>
    <font>
      <sz val="11"/>
      <color rgb="FF000000"/>
      <name val="Soberana Sans"/>
      <family val="3"/>
    </font>
    <font>
      <sz val="11"/>
      <color theme="1"/>
      <name val="Soberana Sans"/>
      <family val="3"/>
    </font>
    <font>
      <sz val="7"/>
      <color rgb="FF000000"/>
      <name val="Arial"/>
      <family val="2"/>
    </font>
    <font>
      <sz val="11"/>
      <color theme="0"/>
      <name val="Soberana Sans"/>
      <family val="3"/>
    </font>
    <font>
      <b/>
      <sz val="11"/>
      <name val="Soberana Sans"/>
      <family val="3"/>
    </font>
    <font>
      <b/>
      <sz val="11"/>
      <color rgb="FF595959"/>
      <name val="Soberana Sans"/>
      <family val="3"/>
    </font>
    <font>
      <i/>
      <sz val="11"/>
      <color theme="1"/>
      <name val="Soberana Sans"/>
      <family val="3"/>
    </font>
    <font>
      <sz val="10"/>
      <color theme="1"/>
      <name val="Soberana Sans"/>
      <family val="3"/>
    </font>
    <font>
      <b/>
      <i/>
      <sz val="9"/>
      <color rgb="FFFFFFFF"/>
      <name val="Soberana Sans Light"/>
      <family val="3"/>
    </font>
    <font>
      <sz val="10"/>
      <color rgb="FF000000"/>
      <name val="Soberana Sans"/>
      <family val="3"/>
    </font>
    <font>
      <b/>
      <sz val="10"/>
      <color rgb="FFFFFFFF"/>
      <name val="Soberana Sans Light"/>
      <family val="3"/>
    </font>
    <font>
      <b/>
      <sz val="12"/>
      <color theme="1"/>
      <name val="Arial"/>
      <family val="2"/>
    </font>
    <font>
      <b/>
      <sz val="12"/>
      <color theme="1"/>
      <name val="Times New Roman"/>
      <family val="1"/>
    </font>
    <font>
      <sz val="12"/>
      <color theme="1"/>
      <name val="Arial"/>
      <family val="2"/>
    </font>
    <font>
      <sz val="7"/>
      <color theme="1"/>
      <name val="Times New Roman"/>
      <family val="1"/>
    </font>
    <font>
      <sz val="16"/>
      <color rgb="FFFF0000"/>
      <name val="Arial"/>
      <family val="2"/>
    </font>
    <font>
      <sz val="10"/>
      <color theme="1"/>
      <name val="Times New Roman"/>
      <family val="1"/>
    </font>
  </fonts>
  <fills count="13">
    <fill>
      <patternFill patternType="none"/>
    </fill>
    <fill>
      <patternFill patternType="gray125"/>
    </fill>
    <fill>
      <patternFill patternType="solid">
        <fgColor rgb="FF00B050"/>
        <bgColor indexed="64"/>
      </patternFill>
    </fill>
    <fill>
      <patternFill patternType="solid">
        <fgColor rgb="FFD028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rgb="FF9BBB59"/>
        <bgColor indexed="64"/>
      </patternFill>
    </fill>
    <fill>
      <patternFill patternType="solid">
        <fgColor rgb="FFEAF1DD"/>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style="medium">
        <color theme="9" tint="-0.24994659260841701"/>
      </left>
      <right style="medium">
        <color theme="9" tint="-0.24994659260841701"/>
      </right>
      <top style="medium">
        <color theme="9" tint="-0.24994659260841701"/>
      </top>
      <bottom style="medium">
        <color theme="9" tint="-0.24994659260841701"/>
      </bottom>
      <diagonal/>
    </border>
    <border>
      <left style="medium">
        <color theme="9" tint="-0.24994659260841701"/>
      </left>
      <right style="medium">
        <color theme="9" tint="-0.24994659260841701"/>
      </right>
      <top style="medium">
        <color theme="9" tint="-0.24994659260841701"/>
      </top>
      <bottom/>
      <diagonal/>
    </border>
    <border>
      <left style="medium">
        <color theme="9" tint="-0.24994659260841701"/>
      </left>
      <right style="medium">
        <color theme="9" tint="-0.24994659260841701"/>
      </right>
      <top/>
      <bottom/>
      <diagonal/>
    </border>
    <border>
      <left style="medium">
        <color theme="9" tint="-0.24994659260841701"/>
      </left>
      <right style="medium">
        <color theme="9" tint="-0.24994659260841701"/>
      </right>
      <top/>
      <bottom style="medium">
        <color theme="9" tint="-0.24994659260841701"/>
      </bottom>
      <diagonal/>
    </border>
    <border>
      <left/>
      <right/>
      <top/>
      <bottom style="medium">
        <color rgb="FF9BBB59"/>
      </bottom>
      <diagonal/>
    </border>
    <border>
      <left style="medium">
        <color rgb="FF9BBB59"/>
      </left>
      <right/>
      <top style="medium">
        <color rgb="FF9BBB59"/>
      </top>
      <bottom style="medium">
        <color rgb="FF9BBB59"/>
      </bottom>
      <diagonal/>
    </border>
    <border>
      <left/>
      <right/>
      <top style="medium">
        <color rgb="FF9BBB59"/>
      </top>
      <bottom style="medium">
        <color rgb="FF9BBB59"/>
      </bottom>
      <diagonal/>
    </border>
    <border>
      <left/>
      <right style="medium">
        <color rgb="FF9BBB59"/>
      </right>
      <top style="medium">
        <color rgb="FF9BBB59"/>
      </top>
      <bottom style="medium">
        <color rgb="FF9BBB59"/>
      </bottom>
      <diagonal/>
    </border>
    <border>
      <left style="medium">
        <color rgb="FFC2D69B"/>
      </left>
      <right style="medium">
        <color rgb="FFC2D69B"/>
      </right>
      <top/>
      <bottom style="medium">
        <color rgb="FFC2D69B"/>
      </bottom>
      <diagonal/>
    </border>
    <border>
      <left style="medium">
        <color rgb="FFBFBFBF"/>
      </left>
      <right style="medium">
        <color rgb="FFBFBFBF"/>
      </right>
      <top style="medium">
        <color rgb="FFBFBFBF"/>
      </top>
      <bottom style="medium">
        <color rgb="FFBFBFBF"/>
      </bottom>
      <diagonal/>
    </border>
    <border>
      <left style="medium">
        <color rgb="FFBFBFBF"/>
      </left>
      <right style="medium">
        <color rgb="FFBFBFBF"/>
      </right>
      <top/>
      <bottom style="medium">
        <color rgb="FFBFBFBF"/>
      </bottom>
      <diagonal/>
    </border>
    <border>
      <left/>
      <right style="medium">
        <color rgb="FFC2D69B"/>
      </right>
      <top/>
      <bottom style="medium">
        <color rgb="FFC2D69B"/>
      </bottom>
      <diagonal/>
    </border>
  </borders>
  <cellStyleXfs count="5">
    <xf numFmtId="0" fontId="0" fillId="0" borderId="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cellStyleXfs>
  <cellXfs count="286">
    <xf numFmtId="0" fontId="0" fillId="0" borderId="0" xfId="0"/>
    <xf numFmtId="0" fontId="2" fillId="0" borderId="0" xfId="0" applyFont="1"/>
    <xf numFmtId="0" fontId="1" fillId="0" borderId="0" xfId="0" applyFont="1" applyAlignment="1">
      <alignment vertical="center"/>
    </xf>
    <xf numFmtId="0" fontId="2" fillId="0" borderId="0" xfId="0" applyFont="1" applyAlignment="1">
      <alignment wrapText="1"/>
    </xf>
    <xf numFmtId="0" fontId="0" fillId="0" borderId="0" xfId="0" applyFont="1" applyAlignment="1">
      <alignment vertical="center"/>
    </xf>
    <xf numFmtId="0" fontId="3" fillId="0" borderId="0" xfId="0" applyFont="1" applyAlignment="1">
      <alignment wrapText="1"/>
    </xf>
    <xf numFmtId="0" fontId="5" fillId="0" borderId="0" xfId="0" applyFont="1" applyAlignment="1">
      <alignment horizontal="center" vertical="center"/>
    </xf>
    <xf numFmtId="0" fontId="5" fillId="0" borderId="0" xfId="0" applyFont="1" applyAlignment="1">
      <alignment horizontal="center" vertical="center" wrapText="1"/>
    </xf>
    <xf numFmtId="0" fontId="13" fillId="3" borderId="1" xfId="0" applyFont="1" applyFill="1" applyBorder="1" applyAlignment="1">
      <alignment horizontal="center" vertical="center"/>
    </xf>
    <xf numFmtId="0" fontId="10" fillId="0" borderId="0" xfId="0" applyFont="1" applyAlignment="1">
      <alignment horizontal="center"/>
    </xf>
    <xf numFmtId="0" fontId="10" fillId="0" borderId="0" xfId="0" applyFont="1" applyAlignment="1">
      <alignment horizontal="center" vertical="center"/>
    </xf>
    <xf numFmtId="0" fontId="10" fillId="0" borderId="0" xfId="0" applyFont="1"/>
    <xf numFmtId="0" fontId="9" fillId="0" borderId="0" xfId="0" applyFont="1" applyAlignment="1">
      <alignment horizontal="center" vertical="center"/>
    </xf>
    <xf numFmtId="0" fontId="5" fillId="3" borderId="1" xfId="0" applyFont="1" applyFill="1" applyBorder="1" applyAlignment="1">
      <alignment horizontal="center" vertical="center"/>
    </xf>
    <xf numFmtId="0" fontId="4" fillId="0" borderId="0" xfId="0" applyFont="1" applyFill="1"/>
    <xf numFmtId="0" fontId="5" fillId="0" borderId="1" xfId="0" applyFont="1" applyFill="1" applyBorder="1" applyAlignment="1">
      <alignment horizontal="center" vertical="center"/>
    </xf>
    <xf numFmtId="0" fontId="8" fillId="2" borderId="1" xfId="0" applyFont="1" applyFill="1" applyBorder="1" applyAlignment="1">
      <alignment horizontal="center" vertical="center"/>
    </xf>
    <xf numFmtId="0" fontId="5" fillId="0" borderId="0" xfId="0" applyFont="1" applyFill="1" applyAlignment="1">
      <alignment horizontal="center" vertical="center" textRotation="90"/>
    </xf>
    <xf numFmtId="0" fontId="14" fillId="0" borderId="1" xfId="0" applyFont="1" applyFill="1" applyBorder="1" applyAlignment="1">
      <alignment vertical="center" textRotation="90"/>
    </xf>
    <xf numFmtId="0" fontId="8" fillId="0" borderId="0" xfId="0" applyFont="1" applyFill="1" applyBorder="1" applyAlignment="1">
      <alignment vertical="center"/>
    </xf>
    <xf numFmtId="0" fontId="0" fillId="0" borderId="0" xfId="0" applyFill="1" applyBorder="1"/>
    <xf numFmtId="0" fontId="9" fillId="0" borderId="0" xfId="0" applyFont="1"/>
    <xf numFmtId="0" fontId="22" fillId="0" borderId="0" xfId="0" applyFont="1"/>
    <xf numFmtId="0" fontId="4" fillId="0" borderId="0" xfId="0" applyFont="1"/>
    <xf numFmtId="0" fontId="9" fillId="0" borderId="1" xfId="0" applyFont="1" applyBorder="1" applyAlignment="1">
      <alignment horizontal="center" vertical="center"/>
    </xf>
    <xf numFmtId="0" fontId="9" fillId="0" borderId="0" xfId="0" applyFont="1" applyBorder="1"/>
    <xf numFmtId="0" fontId="23" fillId="0" borderId="0" xfId="0" applyFont="1" applyFill="1" applyBorder="1" applyAlignment="1">
      <alignment horizontal="center" vertical="center"/>
    </xf>
    <xf numFmtId="0" fontId="9" fillId="0" borderId="1" xfId="0" applyFont="1" applyBorder="1" applyAlignment="1">
      <alignment horizontal="center" vertical="center" wrapText="1"/>
    </xf>
    <xf numFmtId="0" fontId="22" fillId="0" borderId="0" xfId="0" applyFont="1" applyAlignment="1">
      <alignment horizontal="center" vertical="center"/>
    </xf>
    <xf numFmtId="0" fontId="28" fillId="0" borderId="1" xfId="0" applyFont="1" applyFill="1" applyBorder="1" applyAlignment="1">
      <alignment horizontal="center" vertical="center" wrapText="1"/>
    </xf>
    <xf numFmtId="0" fontId="29" fillId="0" borderId="1" xfId="0" applyFont="1" applyBorder="1" applyAlignment="1">
      <alignment horizontal="center" vertical="center" wrapText="1"/>
    </xf>
    <xf numFmtId="0" fontId="7" fillId="3" borderId="1" xfId="0" applyFont="1" applyFill="1" applyBorder="1" applyAlignment="1">
      <alignment horizontal="center" vertical="center"/>
    </xf>
    <xf numFmtId="0" fontId="7" fillId="3" borderId="2" xfId="0" applyFont="1" applyFill="1" applyBorder="1" applyAlignment="1">
      <alignment horizontal="center" vertical="center"/>
    </xf>
    <xf numFmtId="0" fontId="9" fillId="0" borderId="1" xfId="0" applyFont="1" applyBorder="1" applyAlignment="1">
      <alignment horizontal="center" vertical="center" wrapText="1"/>
    </xf>
    <xf numFmtId="0" fontId="9" fillId="0" borderId="0" xfId="0" applyFont="1" applyAlignment="1">
      <alignment horizontal="center" vertical="center"/>
    </xf>
    <xf numFmtId="0" fontId="22" fillId="0" borderId="1" xfId="0" applyFont="1" applyBorder="1" applyAlignment="1">
      <alignment horizontal="center" vertical="center" wrapText="1"/>
    </xf>
    <xf numFmtId="0" fontId="14" fillId="0" borderId="1" xfId="0" applyFont="1" applyFill="1" applyBorder="1" applyAlignment="1">
      <alignment horizontal="center" vertical="center" textRotation="90"/>
    </xf>
    <xf numFmtId="0" fontId="5" fillId="0" borderId="1" xfId="0" applyFont="1" applyFill="1" applyBorder="1" applyAlignment="1">
      <alignment horizontal="center" vertical="center" wrapText="1"/>
    </xf>
    <xf numFmtId="0" fontId="7" fillId="3" borderId="1" xfId="0" applyFont="1" applyFill="1" applyBorder="1" applyAlignment="1">
      <alignment horizontal="center" vertical="center"/>
    </xf>
    <xf numFmtId="0" fontId="9" fillId="0" borderId="1" xfId="0" applyFont="1" applyBorder="1" applyAlignment="1">
      <alignment horizontal="center" vertical="center" wrapText="1"/>
    </xf>
    <xf numFmtId="0" fontId="9" fillId="0" borderId="0" xfId="0" applyFont="1" applyAlignment="1">
      <alignment horizontal="center" vertical="center" wrapText="1"/>
    </xf>
    <xf numFmtId="0" fontId="9" fillId="0" borderId="1" xfId="0" applyFont="1" applyBorder="1" applyAlignment="1">
      <alignment horizontal="center" vertical="center" wrapText="1"/>
    </xf>
    <xf numFmtId="0" fontId="32" fillId="2" borderId="2" xfId="0" applyFont="1" applyFill="1" applyBorder="1" applyAlignment="1">
      <alignment horizontal="center" vertical="center"/>
    </xf>
    <xf numFmtId="0" fontId="34" fillId="2" borderId="1" xfId="0" applyFont="1" applyFill="1" applyBorder="1" applyAlignment="1">
      <alignment horizontal="center" vertical="center" wrapText="1"/>
    </xf>
    <xf numFmtId="0" fontId="30" fillId="2" borderId="1" xfId="0" applyFont="1" applyFill="1" applyBorder="1" applyAlignment="1">
      <alignment horizontal="center" vertical="center" wrapText="1"/>
    </xf>
    <xf numFmtId="0" fontId="30" fillId="2" borderId="1" xfId="0" applyFont="1" applyFill="1" applyBorder="1" applyAlignment="1">
      <alignment horizontal="center" vertical="center"/>
    </xf>
    <xf numFmtId="0" fontId="35" fillId="3" borderId="1" xfId="0" applyFont="1" applyFill="1" applyBorder="1" applyAlignment="1">
      <alignment horizontal="center" vertical="center"/>
    </xf>
    <xf numFmtId="0" fontId="36" fillId="3" borderId="1" xfId="0" applyFont="1" applyFill="1" applyBorder="1" applyAlignment="1">
      <alignment horizontal="center" vertical="center" wrapText="1"/>
    </xf>
    <xf numFmtId="0" fontId="13" fillId="3" borderId="1" xfId="0" applyFont="1" applyFill="1" applyBorder="1" applyAlignment="1">
      <alignment horizontal="center" vertical="center"/>
    </xf>
    <xf numFmtId="0" fontId="38" fillId="6" borderId="16" xfId="0" applyFont="1" applyFill="1" applyBorder="1" applyAlignment="1">
      <alignment horizontal="center" vertical="center" wrapText="1"/>
    </xf>
    <xf numFmtId="0" fontId="15" fillId="7" borderId="16" xfId="0" applyFont="1" applyFill="1" applyBorder="1" applyAlignment="1">
      <alignment horizontal="center" vertical="center" wrapText="1"/>
    </xf>
    <xf numFmtId="9" fontId="15" fillId="7" borderId="16" xfId="0" applyNumberFormat="1" applyFont="1" applyFill="1" applyBorder="1" applyAlignment="1">
      <alignment horizontal="center" vertical="center" wrapText="1"/>
    </xf>
    <xf numFmtId="0" fontId="15" fillId="0" borderId="16" xfId="0" applyFont="1" applyBorder="1" applyAlignment="1">
      <alignment horizontal="center" vertical="center" wrapText="1"/>
    </xf>
    <xf numFmtId="0" fontId="15" fillId="8" borderId="16" xfId="0" applyFont="1" applyFill="1" applyBorder="1" applyAlignment="1">
      <alignment horizontal="center" vertical="center" wrapText="1"/>
    </xf>
    <xf numFmtId="0" fontId="7" fillId="3" borderId="1" xfId="0" applyFont="1" applyFill="1" applyBorder="1" applyAlignment="1">
      <alignment horizontal="center" vertical="center"/>
    </xf>
    <xf numFmtId="0" fontId="39" fillId="7" borderId="16" xfId="0" applyFont="1" applyFill="1" applyBorder="1" applyAlignment="1">
      <alignment vertical="center" wrapText="1"/>
    </xf>
    <xf numFmtId="0" fontId="39" fillId="7" borderId="16" xfId="0" applyFont="1" applyFill="1" applyBorder="1" applyAlignment="1">
      <alignment horizontal="center" vertical="center" wrapText="1"/>
    </xf>
    <xf numFmtId="0" fontId="39" fillId="0" borderId="16" xfId="0" applyFont="1" applyFill="1" applyBorder="1" applyAlignment="1">
      <alignment vertical="center" wrapText="1"/>
    </xf>
    <xf numFmtId="0" fontId="39" fillId="0" borderId="16" xfId="0" applyFont="1" applyFill="1" applyBorder="1" applyAlignment="1">
      <alignment horizontal="center" vertical="center" wrapText="1"/>
    </xf>
    <xf numFmtId="0" fontId="42" fillId="8" borderId="1" xfId="0" applyFont="1" applyFill="1" applyBorder="1" applyAlignment="1">
      <alignment horizontal="center" vertical="center" textRotation="90"/>
    </xf>
    <xf numFmtId="0" fontId="43" fillId="0" borderId="1" xfId="0" applyFont="1" applyFill="1" applyBorder="1" applyAlignment="1">
      <alignment horizontal="center" vertical="center" wrapText="1"/>
    </xf>
    <xf numFmtId="0" fontId="43" fillId="0" borderId="1" xfId="0" applyFont="1" applyBorder="1" applyAlignment="1">
      <alignment horizontal="center" vertical="center" wrapText="1"/>
    </xf>
    <xf numFmtId="0" fontId="43" fillId="0" borderId="0" xfId="0" applyFont="1" applyAlignment="1">
      <alignment horizontal="center" vertical="center" wrapText="1"/>
    </xf>
    <xf numFmtId="9" fontId="15" fillId="8" borderId="16" xfId="0" applyNumberFormat="1" applyFont="1" applyFill="1" applyBorder="1" applyAlignment="1">
      <alignment horizontal="center" vertical="center" wrapText="1"/>
    </xf>
    <xf numFmtId="164" fontId="0" fillId="0" borderId="0" xfId="0" applyNumberFormat="1" applyFill="1"/>
    <xf numFmtId="0" fontId="0" fillId="0" borderId="0" xfId="0" applyFill="1"/>
    <xf numFmtId="0" fontId="44" fillId="0" borderId="0" xfId="0" applyFont="1"/>
    <xf numFmtId="0" fontId="45" fillId="0" borderId="0" xfId="0" applyFont="1" applyAlignment="1">
      <alignment horizontal="center"/>
    </xf>
    <xf numFmtId="0" fontId="44" fillId="0" borderId="0" xfId="0" applyFont="1" applyAlignment="1">
      <alignment horizontal="left"/>
    </xf>
    <xf numFmtId="0" fontId="45" fillId="0" borderId="0" xfId="0" applyFont="1"/>
    <xf numFmtId="0" fontId="45" fillId="4" borderId="1" xfId="0" applyFont="1" applyFill="1" applyBorder="1" applyAlignment="1">
      <alignment horizontal="center" vertical="center" wrapText="1"/>
    </xf>
    <xf numFmtId="9" fontId="44" fillId="0" borderId="1" xfId="0" applyNumberFormat="1" applyFont="1" applyBorder="1" applyAlignment="1">
      <alignment horizontal="center" vertical="center" wrapText="1"/>
    </xf>
    <xf numFmtId="9" fontId="44" fillId="0" borderId="2" xfId="0" applyNumberFormat="1" applyFont="1" applyBorder="1" applyAlignment="1">
      <alignment horizontal="center" vertical="center" wrapText="1"/>
    </xf>
    <xf numFmtId="9" fontId="47" fillId="0" borderId="1" xfId="0" applyNumberFormat="1" applyFont="1" applyBorder="1" applyAlignment="1">
      <alignment horizontal="center" vertical="center" wrapText="1"/>
    </xf>
    <xf numFmtId="0" fontId="1" fillId="8" borderId="0" xfId="0" applyFont="1" applyFill="1" applyAlignment="1">
      <alignment vertical="center"/>
    </xf>
    <xf numFmtId="0" fontId="0" fillId="8" borderId="0" xfId="0" applyFont="1" applyFill="1" applyAlignment="1">
      <alignment vertical="center"/>
    </xf>
    <xf numFmtId="0" fontId="2" fillId="8" borderId="0" xfId="0" applyFont="1" applyFill="1"/>
    <xf numFmtId="0" fontId="0" fillId="8" borderId="0" xfId="0" applyFill="1"/>
    <xf numFmtId="0" fontId="50" fillId="0" borderId="1" xfId="0" applyFont="1" applyBorder="1" applyAlignment="1">
      <alignment horizontal="left" vertical="center"/>
    </xf>
    <xf numFmtId="0" fontId="51" fillId="8" borderId="1" xfId="0" applyFont="1" applyFill="1" applyBorder="1" applyAlignment="1">
      <alignment vertical="center"/>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1" fillId="8" borderId="1" xfId="0" applyFont="1" applyFill="1" applyBorder="1"/>
    <xf numFmtId="0" fontId="50" fillId="0" borderId="1" xfId="0" applyFont="1" applyBorder="1" applyAlignment="1">
      <alignment vertical="center" wrapText="1"/>
    </xf>
    <xf numFmtId="0" fontId="52" fillId="0" borderId="0" xfId="0" applyFont="1" applyBorder="1" applyAlignment="1">
      <alignment vertical="center" wrapText="1"/>
    </xf>
    <xf numFmtId="0" fontId="50" fillId="0" borderId="2" xfId="0" applyFont="1" applyBorder="1" applyAlignment="1">
      <alignment horizontal="center" vertical="center"/>
    </xf>
    <xf numFmtId="0" fontId="50" fillId="0" borderId="2" xfId="0" applyFont="1" applyBorder="1" applyAlignment="1">
      <alignment horizontal="center" vertical="center" wrapText="1"/>
    </xf>
    <xf numFmtId="0" fontId="51" fillId="8" borderId="1" xfId="0" applyFont="1" applyFill="1" applyBorder="1" applyAlignment="1"/>
    <xf numFmtId="0" fontId="2" fillId="8" borderId="0" xfId="0" applyFont="1" applyFill="1" applyAlignment="1">
      <alignment wrapText="1"/>
    </xf>
    <xf numFmtId="0" fontId="3" fillId="8" borderId="0" xfId="0" applyFont="1" applyFill="1" applyAlignment="1">
      <alignment wrapText="1"/>
    </xf>
    <xf numFmtId="0" fontId="55" fillId="9" borderId="1" xfId="0" applyFont="1" applyFill="1" applyBorder="1" applyAlignment="1">
      <alignment horizontal="center" vertical="center" wrapText="1"/>
    </xf>
    <xf numFmtId="0" fontId="55" fillId="9" borderId="1" xfId="0" applyFont="1" applyFill="1" applyBorder="1" applyAlignment="1">
      <alignment horizontal="center" vertical="center"/>
    </xf>
    <xf numFmtId="0" fontId="51" fillId="8" borderId="1" xfId="0" applyFont="1" applyFill="1" applyBorder="1" applyAlignment="1">
      <alignment horizontal="center" vertical="center" wrapText="1"/>
    </xf>
    <xf numFmtId="0" fontId="51" fillId="8" borderId="1" xfId="0" applyFont="1" applyFill="1" applyBorder="1" applyAlignment="1">
      <alignment wrapText="1"/>
    </xf>
    <xf numFmtId="0" fontId="54" fillId="8" borderId="1" xfId="0" applyFont="1" applyFill="1" applyBorder="1" applyAlignment="1">
      <alignment vertical="center" wrapText="1"/>
    </xf>
    <xf numFmtId="0" fontId="54" fillId="8" borderId="0" xfId="0" applyFont="1" applyFill="1" applyBorder="1" applyAlignment="1">
      <alignment horizontal="left" vertical="center" wrapText="1"/>
    </xf>
    <xf numFmtId="0" fontId="51" fillId="8" borderId="0" xfId="0" applyFont="1" applyFill="1" applyBorder="1" applyAlignment="1">
      <alignment horizontal="left" vertical="center" wrapText="1"/>
    </xf>
    <xf numFmtId="0" fontId="51" fillId="8" borderId="0" xfId="0" applyFont="1" applyFill="1" applyBorder="1" applyAlignment="1">
      <alignment horizontal="left" wrapText="1"/>
    </xf>
    <xf numFmtId="0" fontId="51" fillId="8" borderId="0" xfId="0" applyFont="1" applyFill="1" applyAlignment="1">
      <alignment horizontal="left" wrapText="1"/>
    </xf>
    <xf numFmtId="0" fontId="54" fillId="8" borderId="0" xfId="0" applyFont="1" applyFill="1" applyBorder="1" applyAlignment="1">
      <alignment vertical="center" wrapText="1"/>
    </xf>
    <xf numFmtId="0" fontId="51" fillId="8" borderId="0" xfId="0" applyFont="1" applyFill="1"/>
    <xf numFmtId="0" fontId="51" fillId="8" borderId="0" xfId="0" applyFont="1" applyFill="1" applyBorder="1" applyAlignment="1">
      <alignment vertical="center" wrapText="1"/>
    </xf>
    <xf numFmtId="0" fontId="57" fillId="8" borderId="0" xfId="0" applyFont="1" applyFill="1" applyAlignment="1">
      <alignment wrapText="1"/>
    </xf>
    <xf numFmtId="0" fontId="57" fillId="8" borderId="0" xfId="0" applyFont="1" applyFill="1"/>
    <xf numFmtId="0" fontId="5" fillId="10" borderId="1" xfId="0" applyFont="1" applyFill="1" applyBorder="1" applyAlignment="1">
      <alignment horizontal="center" vertical="center"/>
    </xf>
    <xf numFmtId="0" fontId="45" fillId="0" borderId="6" xfId="0" applyFont="1" applyBorder="1" applyAlignment="1">
      <alignment horizontal="center" vertical="center" wrapText="1"/>
    </xf>
    <xf numFmtId="0" fontId="45" fillId="0" borderId="5" xfId="0" applyFont="1" applyBorder="1" applyAlignment="1">
      <alignment horizontal="center" vertical="center" wrapText="1"/>
    </xf>
    <xf numFmtId="0" fontId="44" fillId="0" borderId="6" xfId="0" applyFont="1" applyBorder="1" applyAlignment="1">
      <alignment horizontal="center" vertical="center"/>
    </xf>
    <xf numFmtId="0" fontId="44" fillId="0" borderId="7" xfId="0" applyFont="1" applyBorder="1" applyAlignment="1">
      <alignment horizontal="center" vertical="center"/>
    </xf>
    <xf numFmtId="0" fontId="44" fillId="0" borderId="5" xfId="0" applyFont="1" applyBorder="1" applyAlignment="1">
      <alignment horizontal="center" vertical="center"/>
    </xf>
    <xf numFmtId="0" fontId="44" fillId="0" borderId="6" xfId="0" applyFont="1" applyBorder="1" applyAlignment="1">
      <alignment horizontal="justify" vertical="justify"/>
    </xf>
    <xf numFmtId="0" fontId="44" fillId="0" borderId="7" xfId="0" applyFont="1" applyBorder="1" applyAlignment="1">
      <alignment horizontal="justify" vertical="justify"/>
    </xf>
    <xf numFmtId="0" fontId="44" fillId="0" borderId="5" xfId="0" applyFont="1" applyBorder="1" applyAlignment="1">
      <alignment horizontal="justify" vertical="justify"/>
    </xf>
    <xf numFmtId="0" fontId="45" fillId="0" borderId="8" xfId="0" applyFont="1" applyBorder="1" applyAlignment="1">
      <alignment horizontal="center" vertical="center" wrapText="1"/>
    </xf>
    <xf numFmtId="0" fontId="45" fillId="0" borderId="9" xfId="0" applyFont="1" applyBorder="1" applyAlignment="1">
      <alignment horizontal="center" vertical="center" wrapText="1"/>
    </xf>
    <xf numFmtId="0" fontId="47" fillId="0" borderId="1" xfId="0" applyFont="1" applyBorder="1" applyAlignment="1">
      <alignment horizontal="center" vertical="center" wrapText="1"/>
    </xf>
    <xf numFmtId="0" fontId="44" fillId="0" borderId="1" xfId="0" applyFont="1" applyBorder="1" applyAlignment="1">
      <alignment horizontal="justify" vertical="justify"/>
    </xf>
    <xf numFmtId="0" fontId="45" fillId="0" borderId="1" xfId="0" applyFont="1" applyBorder="1" applyAlignment="1">
      <alignment horizontal="center" vertical="center" wrapText="1"/>
    </xf>
    <xf numFmtId="0" fontId="44" fillId="0" borderId="1" xfId="0" applyFont="1" applyBorder="1" applyAlignment="1">
      <alignment horizontal="center" vertical="center"/>
    </xf>
    <xf numFmtId="0" fontId="44" fillId="0" borderId="8" xfId="0" applyFont="1" applyBorder="1" applyAlignment="1">
      <alignment horizontal="center" vertical="center"/>
    </xf>
    <xf numFmtId="0" fontId="44" fillId="0" borderId="15" xfId="0" applyFont="1" applyBorder="1" applyAlignment="1">
      <alignment horizontal="center" vertical="center"/>
    </xf>
    <xf numFmtId="0" fontId="44" fillId="0" borderId="9" xfId="0" applyFont="1" applyBorder="1" applyAlignment="1">
      <alignment horizontal="center" vertical="center"/>
    </xf>
    <xf numFmtId="0" fontId="44" fillId="0" borderId="8" xfId="0" applyFont="1" applyBorder="1" applyAlignment="1">
      <alignment horizontal="justify" vertical="justify"/>
    </xf>
    <xf numFmtId="0" fontId="44" fillId="0" borderId="15" xfId="0" applyFont="1" applyBorder="1" applyAlignment="1">
      <alignment horizontal="justify" vertical="justify"/>
    </xf>
    <xf numFmtId="0" fontId="44" fillId="0" borderId="9" xfId="0" applyFont="1" applyBorder="1" applyAlignment="1">
      <alignment horizontal="justify" vertical="justify"/>
    </xf>
    <xf numFmtId="0" fontId="45" fillId="4" borderId="6" xfId="0" applyFont="1" applyFill="1" applyBorder="1" applyAlignment="1">
      <alignment horizontal="center" vertical="center" wrapText="1"/>
    </xf>
    <xf numFmtId="0" fontId="45" fillId="4" borderId="5" xfId="0" applyFont="1" applyFill="1" applyBorder="1" applyAlignment="1">
      <alignment horizontal="center" vertical="center" wrapText="1"/>
    </xf>
    <xf numFmtId="0" fontId="45" fillId="4" borderId="7" xfId="0" applyFont="1" applyFill="1" applyBorder="1" applyAlignment="1">
      <alignment horizontal="center" vertical="center" wrapText="1"/>
    </xf>
    <xf numFmtId="0" fontId="44" fillId="0" borderId="6" xfId="0" applyFont="1" applyBorder="1" applyAlignment="1">
      <alignment horizontal="center" vertical="center" wrapText="1"/>
    </xf>
    <xf numFmtId="0" fontId="44" fillId="0" borderId="7" xfId="0" applyFont="1" applyBorder="1" applyAlignment="1">
      <alignment horizontal="center" vertical="center" wrapText="1"/>
    </xf>
    <xf numFmtId="0" fontId="44" fillId="0" borderId="5" xfId="0" applyFont="1" applyBorder="1" applyAlignment="1">
      <alignment horizontal="center" vertical="center" wrapText="1"/>
    </xf>
    <xf numFmtId="0" fontId="46" fillId="0" borderId="14" xfId="0" applyFont="1" applyBorder="1" applyAlignment="1">
      <alignment horizontal="left"/>
    </xf>
    <xf numFmtId="0" fontId="45" fillId="2" borderId="2" xfId="0" applyFont="1" applyFill="1" applyBorder="1" applyAlignment="1">
      <alignment horizontal="center" vertical="center" wrapText="1"/>
    </xf>
    <xf numFmtId="0" fontId="26" fillId="0" borderId="0" xfId="0" applyFont="1" applyAlignment="1">
      <alignment horizontal="right" vertical="center"/>
    </xf>
    <xf numFmtId="0" fontId="9" fillId="0" borderId="0" xfId="0" applyFont="1" applyFill="1" applyAlignment="1">
      <alignment horizontal="justify" vertical="justify" wrapText="1"/>
    </xf>
    <xf numFmtId="0" fontId="26" fillId="4" borderId="0" xfId="0" applyFont="1" applyFill="1" applyAlignment="1">
      <alignment horizontal="center" vertical="center"/>
    </xf>
    <xf numFmtId="0" fontId="50" fillId="0" borderId="1" xfId="0" applyFont="1" applyBorder="1" applyAlignment="1">
      <alignment horizontal="left" vertical="center" wrapText="1"/>
    </xf>
    <xf numFmtId="0" fontId="54" fillId="9" borderId="15" xfId="0" applyFont="1" applyFill="1" applyBorder="1" applyAlignment="1">
      <alignment horizontal="center" vertical="center" wrapText="1"/>
    </xf>
    <xf numFmtId="0" fontId="30" fillId="8" borderId="0" xfId="0" applyFont="1" applyFill="1" applyBorder="1" applyAlignment="1">
      <alignment horizontal="center" vertical="center"/>
    </xf>
    <xf numFmtId="0" fontId="56" fillId="0" borderId="0" xfId="0" applyFont="1" applyAlignment="1">
      <alignment horizontal="left" vertical="center"/>
    </xf>
    <xf numFmtId="0" fontId="56" fillId="0" borderId="0" xfId="0" applyFont="1" applyAlignment="1">
      <alignment horizontal="left"/>
    </xf>
    <xf numFmtId="0" fontId="34" fillId="0" borderId="0" xfId="0" applyFont="1" applyAlignment="1">
      <alignment horizontal="center" vertical="center"/>
    </xf>
    <xf numFmtId="0" fontId="54" fillId="9" borderId="8" xfId="0" applyFont="1" applyFill="1" applyBorder="1" applyAlignment="1">
      <alignment horizontal="center" vertical="center" wrapText="1"/>
    </xf>
    <xf numFmtId="0" fontId="54" fillId="9" borderId="9" xfId="0" applyFont="1" applyFill="1" applyBorder="1" applyAlignment="1">
      <alignment horizontal="center" vertical="center" wrapText="1"/>
    </xf>
    <xf numFmtId="0" fontId="54" fillId="9" borderId="12" xfId="0" applyFont="1" applyFill="1" applyBorder="1" applyAlignment="1">
      <alignment horizontal="center" vertical="center" wrapText="1"/>
    </xf>
    <xf numFmtId="0" fontId="54" fillId="9" borderId="14" xfId="0" applyFont="1" applyFill="1" applyBorder="1" applyAlignment="1">
      <alignment horizontal="center" vertical="center" wrapText="1"/>
    </xf>
    <xf numFmtId="0" fontId="54" fillId="9" borderId="13" xfId="0" applyFont="1" applyFill="1" applyBorder="1" applyAlignment="1">
      <alignment horizontal="center" vertical="center" wrapText="1"/>
    </xf>
    <xf numFmtId="0" fontId="54" fillId="9" borderId="1" xfId="0" applyFont="1" applyFill="1" applyBorder="1" applyAlignment="1">
      <alignment horizontal="center" vertical="center" wrapText="1"/>
    </xf>
    <xf numFmtId="0" fontId="51" fillId="0" borderId="1" xfId="0" applyFont="1" applyBorder="1" applyAlignment="1">
      <alignment horizontal="left" vertical="center" wrapText="1"/>
    </xf>
    <xf numFmtId="0" fontId="49" fillId="8" borderId="6" xfId="0" applyFont="1" applyFill="1" applyBorder="1" applyAlignment="1">
      <alignment horizontal="center" vertical="center" wrapText="1"/>
    </xf>
    <xf numFmtId="0" fontId="49" fillId="8" borderId="7" xfId="0" applyFont="1" applyFill="1" applyBorder="1" applyAlignment="1">
      <alignment horizontal="center" vertical="center" wrapText="1"/>
    </xf>
    <xf numFmtId="0" fontId="49" fillId="8" borderId="5" xfId="0" applyFont="1" applyFill="1" applyBorder="1" applyAlignment="1">
      <alignment horizontal="center" vertical="center" wrapText="1"/>
    </xf>
    <xf numFmtId="0" fontId="54" fillId="8" borderId="6" xfId="0" applyFont="1" applyFill="1" applyBorder="1" applyAlignment="1">
      <alignment horizontal="center" vertical="center" wrapText="1"/>
    </xf>
    <xf numFmtId="0" fontId="54" fillId="8" borderId="7" xfId="0" applyFont="1" applyFill="1" applyBorder="1" applyAlignment="1">
      <alignment horizontal="center" vertical="center" wrapText="1"/>
    </xf>
    <xf numFmtId="0" fontId="54" fillId="8" borderId="5" xfId="0" applyFont="1" applyFill="1" applyBorder="1" applyAlignment="1">
      <alignment horizontal="center" vertical="center" wrapText="1"/>
    </xf>
    <xf numFmtId="0" fontId="49" fillId="8" borderId="6" xfId="0" applyFont="1" applyFill="1" applyBorder="1" applyAlignment="1">
      <alignment horizontal="center" wrapText="1"/>
    </xf>
    <xf numFmtId="0" fontId="49" fillId="8" borderId="7" xfId="0" applyFont="1" applyFill="1" applyBorder="1" applyAlignment="1">
      <alignment horizontal="center" wrapText="1"/>
    </xf>
    <xf numFmtId="0" fontId="49" fillId="8" borderId="5" xfId="0" applyFont="1" applyFill="1" applyBorder="1" applyAlignment="1">
      <alignment horizontal="center" wrapText="1"/>
    </xf>
    <xf numFmtId="0" fontId="50" fillId="0" borderId="1" xfId="0" applyFont="1" applyBorder="1" applyAlignment="1">
      <alignment horizontal="left" vertical="center"/>
    </xf>
    <xf numFmtId="0" fontId="51" fillId="8" borderId="1" xfId="0" applyFont="1" applyFill="1" applyBorder="1" applyAlignment="1">
      <alignment horizontal="center" vertical="center"/>
    </xf>
    <xf numFmtId="0" fontId="50" fillId="8" borderId="1" xfId="0" applyFont="1" applyFill="1" applyBorder="1" applyAlignment="1">
      <alignment horizontal="left" vertical="center" wrapText="1"/>
    </xf>
    <xf numFmtId="0" fontId="51" fillId="8" borderId="1" xfId="0" applyFont="1" applyFill="1" applyBorder="1" applyAlignment="1">
      <alignment horizontal="center"/>
    </xf>
    <xf numFmtId="0" fontId="51" fillId="0" borderId="1" xfId="0" applyFont="1" applyBorder="1" applyAlignment="1">
      <alignment horizontal="left" vertical="center"/>
    </xf>
    <xf numFmtId="0" fontId="48" fillId="0" borderId="0" xfId="0" applyFont="1" applyBorder="1" applyAlignment="1">
      <alignment horizontal="right" vertical="center" wrapText="1"/>
    </xf>
    <xf numFmtId="0" fontId="49" fillId="8" borderId="0" xfId="0" applyFont="1" applyFill="1" applyBorder="1" applyAlignment="1">
      <alignment horizontal="justify" vertical="justify" wrapText="1"/>
    </xf>
    <xf numFmtId="0" fontId="49" fillId="8" borderId="0" xfId="0" applyFont="1" applyFill="1" applyBorder="1" applyAlignment="1">
      <alignment horizontal="center" vertical="justify" wrapText="1"/>
    </xf>
    <xf numFmtId="0" fontId="30" fillId="9" borderId="1" xfId="0" applyFont="1" applyFill="1" applyBorder="1" applyAlignment="1">
      <alignment horizontal="center" vertical="center"/>
    </xf>
    <xf numFmtId="0" fontId="50" fillId="0" borderId="1" xfId="0" applyFont="1" applyBorder="1" applyAlignment="1">
      <alignment horizontal="center" vertical="center"/>
    </xf>
    <xf numFmtId="0" fontId="51"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50" fillId="9" borderId="15" xfId="0" applyFont="1" applyFill="1" applyBorder="1" applyAlignment="1">
      <alignment horizontal="center" vertical="center" wrapText="1"/>
    </xf>
    <xf numFmtId="0" fontId="50" fillId="0" borderId="1" xfId="0" applyFont="1" applyBorder="1" applyAlignment="1">
      <alignment horizontal="center" vertical="center" wrapText="1"/>
    </xf>
    <xf numFmtId="0" fontId="50" fillId="0" borderId="6" xfId="0" applyFont="1" applyBorder="1" applyAlignment="1">
      <alignment horizontal="center" vertical="center" wrapText="1"/>
    </xf>
    <xf numFmtId="0" fontId="50" fillId="0" borderId="7" xfId="0" applyFont="1" applyBorder="1" applyAlignment="1">
      <alignment horizontal="center" vertical="center" wrapText="1"/>
    </xf>
    <xf numFmtId="0" fontId="50" fillId="0" borderId="5" xfId="0" applyFont="1" applyBorder="1" applyAlignment="1">
      <alignment horizontal="center" vertical="center" wrapText="1"/>
    </xf>
    <xf numFmtId="0" fontId="50" fillId="8" borderId="1" xfId="0" applyFont="1" applyFill="1" applyBorder="1" applyAlignment="1">
      <alignment horizontal="center" vertical="center" wrapText="1"/>
    </xf>
    <xf numFmtId="0" fontId="30" fillId="8" borderId="1" xfId="0" applyFont="1" applyFill="1" applyBorder="1" applyAlignment="1">
      <alignment horizontal="center" vertical="center"/>
    </xf>
    <xf numFmtId="0" fontId="53" fillId="8" borderId="1" xfId="0" applyFont="1" applyFill="1" applyBorder="1" applyAlignment="1">
      <alignment horizontal="center" vertical="center"/>
    </xf>
    <xf numFmtId="0" fontId="54" fillId="8" borderId="1" xfId="0" applyFont="1" applyFill="1" applyBorder="1" applyAlignment="1">
      <alignment horizontal="center" vertical="center" wrapText="1"/>
    </xf>
    <xf numFmtId="0" fontId="49" fillId="8"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4" fillId="3" borderId="9" xfId="0" applyFont="1" applyFill="1" applyBorder="1" applyAlignment="1">
      <alignment horizontal="center" vertical="center" textRotation="90"/>
    </xf>
    <xf numFmtId="0" fontId="14" fillId="3" borderId="11" xfId="0" applyFont="1" applyFill="1" applyBorder="1" applyAlignment="1">
      <alignment horizontal="center" vertical="center" textRotation="90"/>
    </xf>
    <xf numFmtId="0" fontId="14" fillId="3" borderId="13" xfId="0" applyFont="1" applyFill="1" applyBorder="1" applyAlignment="1">
      <alignment horizontal="center" vertical="center" textRotation="90"/>
    </xf>
    <xf numFmtId="0" fontId="31" fillId="0" borderId="15" xfId="0" applyFont="1" applyBorder="1" applyAlignment="1">
      <alignment horizontal="center" vertical="center"/>
    </xf>
    <xf numFmtId="0" fontId="31" fillId="0" borderId="0" xfId="0" applyFont="1" applyBorder="1" applyAlignment="1">
      <alignment horizontal="center" vertical="center"/>
    </xf>
    <xf numFmtId="0" fontId="31" fillId="0" borderId="14" xfId="0" applyFont="1" applyBorder="1" applyAlignment="1">
      <alignment horizontal="center" vertical="center"/>
    </xf>
    <xf numFmtId="0" fontId="14" fillId="3" borderId="2" xfId="0" applyFont="1" applyFill="1" applyBorder="1" applyAlignment="1">
      <alignment horizontal="center" vertical="center" textRotation="90"/>
    </xf>
    <xf numFmtId="0" fontId="14" fillId="3" borderId="4" xfId="0" applyFont="1" applyFill="1" applyBorder="1" applyAlignment="1">
      <alignment horizontal="center" vertical="center" textRotation="90"/>
    </xf>
    <xf numFmtId="0" fontId="31" fillId="0" borderId="2" xfId="0" applyFont="1" applyBorder="1" applyAlignment="1">
      <alignment horizontal="center" vertical="center"/>
    </xf>
    <xf numFmtId="0" fontId="31" fillId="0" borderId="4" xfId="0" applyFont="1" applyBorder="1" applyAlignment="1">
      <alignment horizontal="center" vertical="center"/>
    </xf>
    <xf numFmtId="0" fontId="14" fillId="0" borderId="2" xfId="0" applyFont="1" applyFill="1" applyBorder="1" applyAlignment="1">
      <alignment horizontal="center" vertical="center" textRotation="90"/>
    </xf>
    <xf numFmtId="0" fontId="14" fillId="0" borderId="3" xfId="0" applyFont="1" applyFill="1" applyBorder="1" applyAlignment="1">
      <alignment horizontal="center" vertical="center" textRotation="90"/>
    </xf>
    <xf numFmtId="0" fontId="14" fillId="0" borderId="4" xfId="0" applyFont="1" applyFill="1" applyBorder="1" applyAlignment="1">
      <alignment horizontal="center" vertical="center" textRotation="90"/>
    </xf>
    <xf numFmtId="0" fontId="14" fillId="3" borderId="3" xfId="0" applyFont="1" applyFill="1" applyBorder="1" applyAlignment="1">
      <alignment horizontal="center" vertical="center" textRotation="90"/>
    </xf>
    <xf numFmtId="0" fontId="31" fillId="0" borderId="3" xfId="0" applyFont="1" applyBorder="1" applyAlignment="1">
      <alignment horizontal="center" vertical="center"/>
    </xf>
    <xf numFmtId="0" fontId="14" fillId="3" borderId="9" xfId="0" applyFont="1" applyFill="1" applyBorder="1" applyAlignment="1">
      <alignment horizontal="center" vertical="center" textRotation="255"/>
    </xf>
    <xf numFmtId="0" fontId="14" fillId="3" borderId="11" xfId="0" applyFont="1" applyFill="1" applyBorder="1" applyAlignment="1">
      <alignment horizontal="center" vertical="center" textRotation="255"/>
    </xf>
    <xf numFmtId="0" fontId="14" fillId="3" borderId="13" xfId="0" applyFont="1" applyFill="1" applyBorder="1" applyAlignment="1">
      <alignment horizontal="center" vertical="center" textRotation="255"/>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5" xfId="0" applyFont="1" applyFill="1" applyBorder="1" applyAlignment="1">
      <alignment horizontal="center" vertical="center"/>
    </xf>
    <xf numFmtId="0" fontId="7" fillId="3" borderId="1" xfId="0" applyFont="1" applyFill="1" applyBorder="1" applyAlignment="1">
      <alignment horizontal="center" vertical="center"/>
    </xf>
    <xf numFmtId="0" fontId="25" fillId="2" borderId="1" xfId="0" applyFont="1" applyFill="1" applyBorder="1" applyAlignment="1">
      <alignment horizontal="center" vertical="center"/>
    </xf>
    <xf numFmtId="0" fontId="16" fillId="0" borderId="1" xfId="0" applyFont="1" applyBorder="1" applyAlignment="1">
      <alignment horizontal="center" vertical="center"/>
    </xf>
    <xf numFmtId="0" fontId="32" fillId="2" borderId="1" xfId="0" applyFont="1" applyFill="1" applyBorder="1" applyAlignment="1">
      <alignment horizontal="center" vertical="center"/>
    </xf>
    <xf numFmtId="0" fontId="32" fillId="2" borderId="2" xfId="0" applyFont="1" applyFill="1" applyBorder="1" applyAlignment="1">
      <alignment horizontal="center" vertical="center"/>
    </xf>
    <xf numFmtId="0" fontId="32" fillId="2" borderId="1" xfId="0" applyFont="1" applyFill="1" applyBorder="1" applyAlignment="1">
      <alignment horizontal="center" vertical="center" wrapText="1"/>
    </xf>
    <xf numFmtId="0" fontId="32" fillId="2" borderId="2" xfId="0" applyFont="1" applyFill="1" applyBorder="1" applyAlignment="1">
      <alignment horizontal="center" vertical="center" wrapText="1"/>
    </xf>
    <xf numFmtId="0" fontId="32" fillId="3" borderId="1" xfId="0" applyFont="1" applyFill="1" applyBorder="1" applyAlignment="1">
      <alignment horizontal="center" vertical="center"/>
    </xf>
    <xf numFmtId="0" fontId="32" fillId="3" borderId="2" xfId="0" applyFont="1" applyFill="1" applyBorder="1" applyAlignment="1">
      <alignment horizontal="center" vertical="center"/>
    </xf>
    <xf numFmtId="0" fontId="32" fillId="2" borderId="3" xfId="0" applyFont="1" applyFill="1" applyBorder="1" applyAlignment="1">
      <alignment horizontal="center" vertical="center"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5" xfId="0" applyFont="1" applyBorder="1" applyAlignment="1">
      <alignment horizontal="center" vertical="center"/>
    </xf>
    <xf numFmtId="0" fontId="33" fillId="0" borderId="6" xfId="0" applyFont="1" applyBorder="1" applyAlignment="1">
      <alignment horizontal="center" vertical="center"/>
    </xf>
    <xf numFmtId="0" fontId="33" fillId="0" borderId="7" xfId="0" applyFont="1" applyBorder="1" applyAlignment="1">
      <alignment horizontal="center" vertical="center"/>
    </xf>
    <xf numFmtId="0" fontId="33" fillId="0" borderId="5" xfId="0" applyFont="1" applyBorder="1" applyAlignment="1">
      <alignment horizontal="center" vertical="center"/>
    </xf>
    <xf numFmtId="0" fontId="8"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30" fillId="2" borderId="6" xfId="0" applyFont="1" applyFill="1" applyBorder="1" applyAlignment="1">
      <alignment horizontal="center" vertical="center" wrapText="1"/>
    </xf>
    <xf numFmtId="0" fontId="30" fillId="2" borderId="5" xfId="0" applyFont="1" applyFill="1" applyBorder="1" applyAlignment="1">
      <alignment horizontal="center" vertical="center" wrapText="1"/>
    </xf>
    <xf numFmtId="0" fontId="24" fillId="3" borderId="1" xfId="0" applyFont="1" applyFill="1" applyBorder="1" applyAlignment="1">
      <alignment horizontal="center" vertical="center"/>
    </xf>
    <xf numFmtId="0" fontId="11" fillId="5" borderId="1" xfId="0" applyFont="1" applyFill="1" applyBorder="1" applyAlignment="1">
      <alignment horizontal="center" vertical="center"/>
    </xf>
    <xf numFmtId="0" fontId="27" fillId="0" borderId="14" xfId="0" applyFont="1" applyBorder="1" applyAlignment="1">
      <alignment horizontal="right" vertical="center"/>
    </xf>
    <xf numFmtId="0" fontId="27" fillId="0" borderId="10" xfId="0" applyFont="1" applyBorder="1" applyAlignment="1">
      <alignment horizontal="right" vertical="center"/>
    </xf>
    <xf numFmtId="0" fontId="27" fillId="0" borderId="0" xfId="0" applyFont="1" applyBorder="1" applyAlignment="1">
      <alignment horizontal="right" vertical="center"/>
    </xf>
    <xf numFmtId="0" fontId="37" fillId="0" borderId="0" xfId="0" applyFont="1" applyAlignment="1">
      <alignment horizontal="center" vertical="justify"/>
    </xf>
    <xf numFmtId="0" fontId="39" fillId="7" borderId="17" xfId="0" applyFont="1" applyFill="1" applyBorder="1" applyAlignment="1">
      <alignment horizontal="center" vertical="center" wrapText="1"/>
    </xf>
    <xf numFmtId="0" fontId="39" fillId="7" borderId="18" xfId="0" applyFont="1" applyFill="1" applyBorder="1" applyAlignment="1">
      <alignment horizontal="center" vertical="center" wrapText="1"/>
    </xf>
    <xf numFmtId="0" fontId="39" fillId="7" borderId="19" xfId="0" applyFont="1" applyFill="1" applyBorder="1" applyAlignment="1">
      <alignment horizontal="center" vertical="center" wrapText="1"/>
    </xf>
    <xf numFmtId="0" fontId="35" fillId="3" borderId="1" xfId="0" applyFont="1" applyFill="1" applyBorder="1" applyAlignment="1">
      <alignment horizontal="center" vertical="center"/>
    </xf>
    <xf numFmtId="0" fontId="34" fillId="2" borderId="6" xfId="0" applyFont="1" applyFill="1" applyBorder="1" applyAlignment="1">
      <alignment horizontal="center" vertical="center" wrapText="1"/>
    </xf>
    <xf numFmtId="0" fontId="34" fillId="2" borderId="5" xfId="0" applyFont="1" applyFill="1" applyBorder="1" applyAlignment="1">
      <alignment horizontal="center" vertical="center" wrapText="1"/>
    </xf>
    <xf numFmtId="0" fontId="12" fillId="3" borderId="1" xfId="0" applyFont="1" applyFill="1" applyBorder="1" applyAlignment="1">
      <alignment horizontal="center" vertical="center"/>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5" xfId="0" applyFont="1" applyBorder="1" applyAlignment="1">
      <alignment horizontal="center" vertical="center" wrapText="1"/>
    </xf>
    <xf numFmtId="0" fontId="13" fillId="3" borderId="1" xfId="0" applyFont="1" applyFill="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5" xfId="0" applyFont="1" applyBorder="1" applyAlignment="1">
      <alignment horizontal="center" vertical="center"/>
    </xf>
    <xf numFmtId="0" fontId="34" fillId="2" borderId="7" xfId="0" applyFont="1" applyFill="1" applyBorder="1" applyAlignment="1">
      <alignment horizontal="center" vertical="center" wrapText="1"/>
    </xf>
    <xf numFmtId="0" fontId="44" fillId="0" borderId="6" xfId="0" applyFont="1" applyBorder="1" applyAlignment="1">
      <alignment horizontal="justify" vertical="center"/>
    </xf>
    <xf numFmtId="0" fontId="44" fillId="0" borderId="7" xfId="0" applyFont="1" applyBorder="1" applyAlignment="1">
      <alignment horizontal="justify" vertical="center"/>
    </xf>
    <xf numFmtId="0" fontId="44" fillId="0" borderId="5" xfId="0" applyFont="1" applyBorder="1" applyAlignment="1">
      <alignment horizontal="justify" vertical="center"/>
    </xf>
    <xf numFmtId="0" fontId="37" fillId="0" borderId="20" xfId="0" applyFont="1" applyBorder="1" applyAlignment="1">
      <alignment horizontal="center"/>
    </xf>
    <xf numFmtId="0" fontId="0" fillId="0" borderId="20" xfId="0" applyBorder="1" applyAlignment="1">
      <alignment horizontal="center"/>
    </xf>
    <xf numFmtId="0" fontId="58" fillId="11" borderId="21" xfId="0" applyFont="1" applyFill="1" applyBorder="1" applyAlignment="1">
      <alignment horizontal="center" vertical="center"/>
    </xf>
    <xf numFmtId="0" fontId="58" fillId="11" borderId="22" xfId="0" applyFont="1" applyFill="1" applyBorder="1" applyAlignment="1">
      <alignment horizontal="center" vertical="center" wrapText="1"/>
    </xf>
    <xf numFmtId="0" fontId="58" fillId="11" borderId="23" xfId="0" applyFont="1" applyFill="1" applyBorder="1" applyAlignment="1">
      <alignment horizontal="center" vertical="center" wrapText="1"/>
    </xf>
    <xf numFmtId="0" fontId="7" fillId="12" borderId="24" xfId="0" applyFont="1" applyFill="1" applyBorder="1" applyAlignment="1">
      <alignment vertical="center"/>
    </xf>
    <xf numFmtId="0" fontId="7" fillId="0" borderId="24" xfId="0" applyFont="1" applyBorder="1" applyAlignment="1">
      <alignment vertical="center"/>
    </xf>
    <xf numFmtId="0" fontId="7" fillId="12" borderId="24" xfId="0" applyFont="1" applyFill="1" applyBorder="1" applyAlignment="1">
      <alignment horizontal="center" vertical="center"/>
    </xf>
    <xf numFmtId="9" fontId="39" fillId="12" borderId="27" xfId="0" applyNumberFormat="1" applyFont="1" applyFill="1" applyBorder="1" applyAlignment="1">
      <alignment horizontal="center" vertical="center" wrapText="1"/>
    </xf>
    <xf numFmtId="0" fontId="37" fillId="0" borderId="0" xfId="0" applyFont="1" applyAlignment="1">
      <alignment horizontal="center"/>
    </xf>
    <xf numFmtId="0" fontId="60" fillId="11" borderId="21" xfId="0" applyFont="1" applyFill="1" applyBorder="1" applyAlignment="1">
      <alignment horizontal="center" vertical="center" wrapText="1"/>
    </xf>
    <xf numFmtId="0" fontId="60" fillId="11" borderId="22" xfId="0" applyFont="1" applyFill="1" applyBorder="1" applyAlignment="1">
      <alignment horizontal="center" vertical="center" wrapText="1"/>
    </xf>
    <xf numFmtId="0" fontId="60" fillId="11" borderId="23" xfId="0" applyFont="1" applyFill="1" applyBorder="1" applyAlignment="1">
      <alignment horizontal="center" vertical="center" wrapText="1"/>
    </xf>
    <xf numFmtId="0" fontId="16" fillId="12" borderId="24" xfId="0" applyFont="1" applyFill="1" applyBorder="1" applyAlignment="1">
      <alignment horizontal="center" vertical="center" wrapText="1"/>
    </xf>
    <xf numFmtId="0" fontId="10" fillId="12" borderId="27" xfId="0" applyFont="1" applyFill="1" applyBorder="1" applyAlignment="1">
      <alignment horizontal="center" vertical="center" wrapText="1"/>
    </xf>
    <xf numFmtId="0" fontId="16" fillId="0" borderId="24" xfId="0" applyFont="1" applyBorder="1" applyAlignment="1">
      <alignment horizontal="center" vertical="center" wrapText="1"/>
    </xf>
    <xf numFmtId="0" fontId="10" fillId="0" borderId="27" xfId="0" applyFont="1" applyBorder="1" applyAlignment="1">
      <alignment horizontal="center" vertical="center" wrapText="1"/>
    </xf>
    <xf numFmtId="0" fontId="61" fillId="0" borderId="0" xfId="0" applyFont="1" applyAlignment="1">
      <alignment horizontal="left" vertical="center"/>
    </xf>
    <xf numFmtId="0" fontId="63" fillId="0" borderId="0" xfId="0" applyFont="1" applyAlignment="1">
      <alignment horizontal="justify" vertical="center"/>
    </xf>
    <xf numFmtId="0" fontId="63" fillId="0" borderId="0" xfId="0" applyFont="1" applyAlignment="1">
      <alignment horizontal="left" vertical="justify"/>
    </xf>
    <xf numFmtId="0" fontId="63" fillId="0" borderId="0" xfId="0" applyFont="1" applyAlignment="1">
      <alignment horizontal="left" vertical="justify"/>
    </xf>
    <xf numFmtId="0" fontId="0" fillId="0" borderId="0" xfId="0" applyAlignment="1">
      <alignment horizontal="left" vertical="justify"/>
    </xf>
    <xf numFmtId="0" fontId="61" fillId="0" borderId="0" xfId="0" applyFont="1" applyAlignment="1">
      <alignment horizontal="left" vertical="center"/>
    </xf>
    <xf numFmtId="0" fontId="0" fillId="0" borderId="0" xfId="0" applyAlignment="1">
      <alignment horizontal="left"/>
    </xf>
    <xf numFmtId="10" fontId="59" fillId="0" borderId="26" xfId="0" applyNumberFormat="1" applyFont="1" applyBorder="1" applyAlignment="1">
      <alignment horizontal="center" vertical="center" wrapText="1"/>
    </xf>
    <xf numFmtId="9" fontId="59" fillId="0" borderId="26" xfId="0" applyNumberFormat="1" applyFont="1" applyBorder="1" applyAlignment="1">
      <alignment horizontal="center" vertical="center" wrapText="1"/>
    </xf>
    <xf numFmtId="10" fontId="59" fillId="9" borderId="25" xfId="0" applyNumberFormat="1" applyFont="1" applyFill="1" applyBorder="1" applyAlignment="1">
      <alignment horizontal="center" vertical="center" wrapText="1"/>
    </xf>
    <xf numFmtId="10" fontId="59" fillId="9" borderId="26" xfId="0" applyNumberFormat="1" applyFont="1" applyFill="1" applyBorder="1" applyAlignment="1">
      <alignment horizontal="center" vertical="center" wrapText="1"/>
    </xf>
    <xf numFmtId="9" fontId="59" fillId="9" borderId="26" xfId="0" applyNumberFormat="1" applyFont="1" applyFill="1" applyBorder="1" applyAlignment="1">
      <alignment horizontal="center" vertical="center" wrapText="1"/>
    </xf>
    <xf numFmtId="0" fontId="59" fillId="9" borderId="25" xfId="0" applyFont="1" applyFill="1" applyBorder="1" applyAlignment="1">
      <alignment horizontal="center" vertical="center" wrapText="1"/>
    </xf>
    <xf numFmtId="0" fontId="59" fillId="0" borderId="26" xfId="0" applyFont="1" applyBorder="1" applyAlignment="1">
      <alignment horizontal="center" vertical="center" wrapText="1"/>
    </xf>
    <xf numFmtId="0" fontId="59" fillId="9" borderId="26" xfId="0" applyFont="1" applyFill="1" applyBorder="1" applyAlignment="1">
      <alignment horizontal="center" vertical="center" wrapText="1"/>
    </xf>
  </cellXfs>
  <cellStyles count="5">
    <cellStyle name="Hipervínculo visitado" xfId="1" builtinId="9" hidden="1"/>
    <cellStyle name="Hipervínculo visitado" xfId="2" builtinId="9" hidden="1"/>
    <cellStyle name="Hipervínculo visitado" xfId="3" builtinId="9" hidden="1"/>
    <cellStyle name="Hipervínculo visitado" xfId="4" builtinId="9" hidden="1"/>
    <cellStyle name="Normal" xfId="0" builtinId="0"/>
  </cellStyles>
  <dxfs count="2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028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123825</xdr:rowOff>
    </xdr:from>
    <xdr:to>
      <xdr:col>4</xdr:col>
      <xdr:colOff>219074</xdr:colOff>
      <xdr:row>0</xdr:row>
      <xdr:rowOff>1066800</xdr:rowOff>
    </xdr:to>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0" y="123825"/>
          <a:ext cx="2828924" cy="9429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50986</xdr:colOff>
      <xdr:row>0</xdr:row>
      <xdr:rowOff>165288</xdr:rowOff>
    </xdr:from>
    <xdr:ext cx="2358278" cy="786093"/>
    <xdr:pic>
      <xdr:nvPicPr>
        <xdr:cNvPr id="4" name="Imagen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50986" y="165288"/>
          <a:ext cx="2358278" cy="786093"/>
        </a:xfrm>
        <a:prstGeom prst="rect">
          <a:avLst/>
        </a:prstGeom>
      </xdr:spPr>
    </xdr:pic>
    <xdr:clientData/>
  </xdr:oneCellAnchor>
  <xdr:twoCellAnchor>
    <xdr:from>
      <xdr:col>7</xdr:col>
      <xdr:colOff>479577</xdr:colOff>
      <xdr:row>5</xdr:row>
      <xdr:rowOff>79824</xdr:rowOff>
    </xdr:from>
    <xdr:to>
      <xdr:col>7</xdr:col>
      <xdr:colOff>727227</xdr:colOff>
      <xdr:row>5</xdr:row>
      <xdr:rowOff>300580</xdr:rowOff>
    </xdr:to>
    <xdr:sp macro="" textlink="">
      <xdr:nvSpPr>
        <xdr:cNvPr id="5" name="Text Box 11"/>
        <xdr:cNvSpPr txBox="1">
          <a:spLocks noChangeArrowheads="1"/>
        </xdr:cNvSpPr>
      </xdr:nvSpPr>
      <xdr:spPr bwMode="auto">
        <a:xfrm>
          <a:off x="7356627" y="3527874"/>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twoCellAnchor>
    <xdr:from>
      <xdr:col>5</xdr:col>
      <xdr:colOff>315684</xdr:colOff>
      <xdr:row>15</xdr:row>
      <xdr:rowOff>102054</xdr:rowOff>
    </xdr:from>
    <xdr:to>
      <xdr:col>5</xdr:col>
      <xdr:colOff>576941</xdr:colOff>
      <xdr:row>15</xdr:row>
      <xdr:rowOff>315687</xdr:rowOff>
    </xdr:to>
    <xdr:sp macro="" textlink="">
      <xdr:nvSpPr>
        <xdr:cNvPr id="6" name="Rectangle 15"/>
        <xdr:cNvSpPr>
          <a:spLocks noChangeArrowheads="1"/>
        </xdr:cNvSpPr>
      </xdr:nvSpPr>
      <xdr:spPr bwMode="auto">
        <a:xfrm>
          <a:off x="5421084" y="5740854"/>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7</xdr:col>
      <xdr:colOff>424542</xdr:colOff>
      <xdr:row>15</xdr:row>
      <xdr:rowOff>115661</xdr:rowOff>
    </xdr:from>
    <xdr:to>
      <xdr:col>7</xdr:col>
      <xdr:colOff>685799</xdr:colOff>
      <xdr:row>15</xdr:row>
      <xdr:rowOff>329294</xdr:rowOff>
    </xdr:to>
    <xdr:sp macro="" textlink="">
      <xdr:nvSpPr>
        <xdr:cNvPr id="7" name="Rectangle 15"/>
        <xdr:cNvSpPr>
          <a:spLocks noChangeArrowheads="1"/>
        </xdr:cNvSpPr>
      </xdr:nvSpPr>
      <xdr:spPr bwMode="auto">
        <a:xfrm>
          <a:off x="7301592" y="5754461"/>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9</xdr:col>
      <xdr:colOff>234043</xdr:colOff>
      <xdr:row>15</xdr:row>
      <xdr:rowOff>115661</xdr:rowOff>
    </xdr:from>
    <xdr:to>
      <xdr:col>9</xdr:col>
      <xdr:colOff>495300</xdr:colOff>
      <xdr:row>15</xdr:row>
      <xdr:rowOff>329294</xdr:rowOff>
    </xdr:to>
    <xdr:sp macro="" textlink="">
      <xdr:nvSpPr>
        <xdr:cNvPr id="8" name="Rectangle 15"/>
        <xdr:cNvSpPr>
          <a:spLocks noChangeArrowheads="1"/>
        </xdr:cNvSpPr>
      </xdr:nvSpPr>
      <xdr:spPr bwMode="auto">
        <a:xfrm>
          <a:off x="8882743" y="5754461"/>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3</xdr:col>
      <xdr:colOff>329292</xdr:colOff>
      <xdr:row>15</xdr:row>
      <xdr:rowOff>102054</xdr:rowOff>
    </xdr:from>
    <xdr:to>
      <xdr:col>3</xdr:col>
      <xdr:colOff>590549</xdr:colOff>
      <xdr:row>15</xdr:row>
      <xdr:rowOff>315687</xdr:rowOff>
    </xdr:to>
    <xdr:sp macro="" textlink="">
      <xdr:nvSpPr>
        <xdr:cNvPr id="9" name="Rectangle 15"/>
        <xdr:cNvSpPr>
          <a:spLocks noChangeArrowheads="1"/>
        </xdr:cNvSpPr>
      </xdr:nvSpPr>
      <xdr:spPr bwMode="auto">
        <a:xfrm>
          <a:off x="3577317" y="5740854"/>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0</xdr:col>
      <xdr:colOff>77880</xdr:colOff>
      <xdr:row>47</xdr:row>
      <xdr:rowOff>144402</xdr:rowOff>
    </xdr:from>
    <xdr:to>
      <xdr:col>0</xdr:col>
      <xdr:colOff>201705</xdr:colOff>
      <xdr:row>47</xdr:row>
      <xdr:rowOff>268227</xdr:rowOff>
    </xdr:to>
    <xdr:sp macro="" textlink="">
      <xdr:nvSpPr>
        <xdr:cNvPr id="10" name="Rectangle 16"/>
        <xdr:cNvSpPr>
          <a:spLocks noChangeArrowheads="1"/>
        </xdr:cNvSpPr>
      </xdr:nvSpPr>
      <xdr:spPr bwMode="auto">
        <a:xfrm>
          <a:off x="77880" y="13650852"/>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70087</xdr:colOff>
      <xdr:row>46</xdr:row>
      <xdr:rowOff>259517</xdr:rowOff>
    </xdr:from>
    <xdr:to>
      <xdr:col>0</xdr:col>
      <xdr:colOff>193912</xdr:colOff>
      <xdr:row>46</xdr:row>
      <xdr:rowOff>383342</xdr:rowOff>
    </xdr:to>
    <xdr:sp macro="" textlink="">
      <xdr:nvSpPr>
        <xdr:cNvPr id="11" name="Rectangle 16"/>
        <xdr:cNvSpPr>
          <a:spLocks noChangeArrowheads="1"/>
        </xdr:cNvSpPr>
      </xdr:nvSpPr>
      <xdr:spPr bwMode="auto">
        <a:xfrm>
          <a:off x="70087" y="13099217"/>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77880</xdr:colOff>
      <xdr:row>45</xdr:row>
      <xdr:rowOff>219788</xdr:rowOff>
    </xdr:from>
    <xdr:to>
      <xdr:col>0</xdr:col>
      <xdr:colOff>201705</xdr:colOff>
      <xdr:row>45</xdr:row>
      <xdr:rowOff>343613</xdr:rowOff>
    </xdr:to>
    <xdr:sp macro="" textlink="">
      <xdr:nvSpPr>
        <xdr:cNvPr id="12" name="Rectangle 16"/>
        <xdr:cNvSpPr>
          <a:spLocks noChangeArrowheads="1"/>
        </xdr:cNvSpPr>
      </xdr:nvSpPr>
      <xdr:spPr bwMode="auto">
        <a:xfrm>
          <a:off x="77880" y="12402263"/>
          <a:ext cx="123825" cy="123825"/>
        </a:xfrm>
        <a:prstGeom prst="rect">
          <a:avLst/>
        </a:prstGeom>
        <a:solidFill>
          <a:srgbClr val="FFFFFF"/>
        </a:solidFill>
        <a:ln w="9525">
          <a:solidFill>
            <a:srgbClr val="000000"/>
          </a:solidFill>
          <a:miter lim="800000"/>
          <a:headEnd/>
          <a:tailEnd/>
        </a:ln>
      </xdr:spPr>
    </xdr:sp>
    <xdr:clientData/>
  </xdr:twoCellAnchor>
  <xdr:twoCellAnchor>
    <xdr:from>
      <xdr:col>3</xdr:col>
      <xdr:colOff>531530</xdr:colOff>
      <xdr:row>5</xdr:row>
      <xdr:rowOff>79825</xdr:rowOff>
    </xdr:from>
    <xdr:to>
      <xdr:col>3</xdr:col>
      <xdr:colOff>779180</xdr:colOff>
      <xdr:row>5</xdr:row>
      <xdr:rowOff>300581</xdr:rowOff>
    </xdr:to>
    <xdr:sp macro="" textlink="">
      <xdr:nvSpPr>
        <xdr:cNvPr id="13" name="Text Box 11"/>
        <xdr:cNvSpPr txBox="1">
          <a:spLocks noChangeArrowheads="1"/>
        </xdr:cNvSpPr>
      </xdr:nvSpPr>
      <xdr:spPr bwMode="auto">
        <a:xfrm>
          <a:off x="3779555" y="3527875"/>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28575</xdr:colOff>
      <xdr:row>0</xdr:row>
      <xdr:rowOff>133350</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133350"/>
          <a:ext cx="2828924" cy="942975"/>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28575</xdr:colOff>
      <xdr:row>1</xdr:row>
      <xdr:rowOff>21167</xdr:rowOff>
    </xdr:from>
    <xdr:ext cx="2133600" cy="711200"/>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7"/>
          <a:ext cx="2133600" cy="71120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tabSelected="1" zoomScale="70" zoomScaleNormal="70" workbookViewId="0">
      <pane ySplit="1" topLeftCell="A2" activePane="bottomLeft" state="frozen"/>
      <selection pane="bottomLeft" activeCell="C7" sqref="C7"/>
    </sheetView>
  </sheetViews>
  <sheetFormatPr baseColWidth="10" defaultRowHeight="15" x14ac:dyDescent="0.25"/>
  <cols>
    <col min="1" max="1" width="4.42578125" customWidth="1"/>
    <col min="2" max="2" width="11.85546875" customWidth="1"/>
    <col min="7" max="8" width="21.85546875" customWidth="1"/>
    <col min="9" max="9" width="39.85546875" customWidth="1"/>
  </cols>
  <sheetData>
    <row r="1" spans="1:9" ht="95.25" customHeight="1" x14ac:dyDescent="0.25">
      <c r="A1" s="133" t="s">
        <v>68</v>
      </c>
      <c r="B1" s="133"/>
      <c r="C1" s="133"/>
      <c r="D1" s="133"/>
      <c r="E1" s="133"/>
      <c r="F1" s="133"/>
      <c r="G1" s="133"/>
      <c r="H1" s="133"/>
      <c r="I1" s="133"/>
    </row>
    <row r="2" spans="1:9" ht="117" customHeight="1" x14ac:dyDescent="0.25">
      <c r="A2" s="134" t="s">
        <v>368</v>
      </c>
      <c r="B2" s="134"/>
      <c r="C2" s="134"/>
      <c r="D2" s="134"/>
      <c r="E2" s="134"/>
      <c r="F2" s="134"/>
      <c r="G2" s="134"/>
      <c r="H2" s="134"/>
      <c r="I2" s="134"/>
    </row>
    <row r="3" spans="1:9" ht="39.75" customHeight="1" x14ac:dyDescent="0.25">
      <c r="A3" s="135" t="s">
        <v>66</v>
      </c>
      <c r="B3" s="135"/>
      <c r="C3" s="135"/>
      <c r="D3" s="135"/>
      <c r="E3" s="135"/>
      <c r="F3" s="135"/>
      <c r="G3" s="135"/>
      <c r="H3" s="135"/>
      <c r="I3" s="135"/>
    </row>
    <row r="4" spans="1:9" ht="117.75" customHeight="1" x14ac:dyDescent="0.25">
      <c r="A4" s="134" t="s">
        <v>369</v>
      </c>
      <c r="B4" s="134"/>
      <c r="C4" s="134"/>
      <c r="D4" s="134"/>
      <c r="E4" s="134"/>
      <c r="F4" s="134"/>
      <c r="G4" s="134"/>
      <c r="H4" s="134"/>
      <c r="I4" s="134"/>
    </row>
    <row r="5" spans="1:9" ht="32.25" customHeight="1" x14ac:dyDescent="0.25">
      <c r="A5" s="135" t="s">
        <v>67</v>
      </c>
      <c r="B5" s="135"/>
      <c r="C5" s="135"/>
      <c r="D5" s="135"/>
      <c r="E5" s="135"/>
      <c r="F5" s="135"/>
      <c r="G5" s="135"/>
      <c r="H5" s="135"/>
      <c r="I5" s="135"/>
    </row>
    <row r="6" spans="1:9" ht="15" customHeight="1" x14ac:dyDescent="0.25">
      <c r="A6" s="66"/>
      <c r="B6" s="67" t="s">
        <v>71</v>
      </c>
      <c r="C6" s="68" t="s">
        <v>68</v>
      </c>
      <c r="D6" s="66"/>
      <c r="E6" s="66"/>
      <c r="F6" s="66"/>
      <c r="G6" s="69"/>
      <c r="H6" s="66"/>
      <c r="I6" s="66"/>
    </row>
    <row r="7" spans="1:9" ht="14.25" customHeight="1" x14ac:dyDescent="0.25">
      <c r="A7" s="66"/>
      <c r="B7" s="67" t="s">
        <v>70</v>
      </c>
      <c r="C7" s="68" t="s">
        <v>69</v>
      </c>
      <c r="D7" s="66"/>
      <c r="E7" s="66"/>
      <c r="F7" s="66"/>
      <c r="G7" s="69"/>
      <c r="H7" s="66"/>
      <c r="I7" s="66"/>
    </row>
    <row r="8" spans="1:9" ht="12" customHeight="1" x14ac:dyDescent="0.25">
      <c r="A8" s="66"/>
      <c r="B8" s="67"/>
      <c r="C8" s="68"/>
      <c r="D8" s="66"/>
      <c r="E8" s="66"/>
      <c r="F8" s="66"/>
      <c r="G8" s="69"/>
      <c r="H8" s="66"/>
      <c r="I8" s="66"/>
    </row>
    <row r="9" spans="1:9" ht="14.25" customHeight="1" x14ac:dyDescent="0.25">
      <c r="A9" s="131" t="s">
        <v>370</v>
      </c>
      <c r="B9" s="131"/>
      <c r="C9" s="131"/>
      <c r="D9" s="131"/>
      <c r="E9" s="131"/>
      <c r="F9" s="131"/>
      <c r="G9" s="131"/>
      <c r="H9" s="131"/>
      <c r="I9" s="131"/>
    </row>
    <row r="10" spans="1:9" ht="19.5" customHeight="1" x14ac:dyDescent="0.25">
      <c r="A10" s="132" t="s">
        <v>72</v>
      </c>
      <c r="B10" s="132"/>
      <c r="C10" s="132"/>
      <c r="D10" s="132"/>
      <c r="E10" s="132"/>
      <c r="F10" s="132"/>
      <c r="G10" s="132"/>
      <c r="H10" s="132"/>
      <c r="I10" s="132"/>
    </row>
    <row r="11" spans="1:9" s="23" customFormat="1" ht="21.75" customHeight="1" x14ac:dyDescent="0.25">
      <c r="A11" s="125" t="s">
        <v>371</v>
      </c>
      <c r="B11" s="126"/>
      <c r="C11" s="125" t="s">
        <v>372</v>
      </c>
      <c r="D11" s="127"/>
      <c r="E11" s="126"/>
      <c r="F11" s="125" t="s">
        <v>373</v>
      </c>
      <c r="G11" s="127"/>
      <c r="H11" s="126"/>
      <c r="I11" s="70" t="s">
        <v>374</v>
      </c>
    </row>
    <row r="12" spans="1:9" ht="32.25" customHeight="1" x14ac:dyDescent="0.25">
      <c r="A12" s="105" t="s">
        <v>8</v>
      </c>
      <c r="B12" s="106"/>
      <c r="C12" s="128" t="s">
        <v>375</v>
      </c>
      <c r="D12" s="129"/>
      <c r="E12" s="130"/>
      <c r="F12" s="251" t="s">
        <v>435</v>
      </c>
      <c r="G12" s="252"/>
      <c r="H12" s="253"/>
      <c r="I12" s="71">
        <v>0</v>
      </c>
    </row>
    <row r="13" spans="1:9" ht="61.5" customHeight="1" x14ac:dyDescent="0.25">
      <c r="A13" s="105" t="s">
        <v>9</v>
      </c>
      <c r="B13" s="106"/>
      <c r="C13" s="107" t="s">
        <v>376</v>
      </c>
      <c r="D13" s="108"/>
      <c r="E13" s="109"/>
      <c r="F13" s="110" t="s">
        <v>377</v>
      </c>
      <c r="G13" s="111"/>
      <c r="H13" s="112"/>
      <c r="I13" s="71">
        <v>0.1</v>
      </c>
    </row>
    <row r="14" spans="1:9" ht="78.75" customHeight="1" x14ac:dyDescent="0.25">
      <c r="A14" s="113" t="s">
        <v>10</v>
      </c>
      <c r="B14" s="114"/>
      <c r="C14" s="119" t="s">
        <v>323</v>
      </c>
      <c r="D14" s="120"/>
      <c r="E14" s="121"/>
      <c r="F14" s="122" t="s">
        <v>436</v>
      </c>
      <c r="G14" s="123"/>
      <c r="H14" s="124"/>
      <c r="I14" s="72">
        <v>0.2</v>
      </c>
    </row>
    <row r="15" spans="1:9" ht="31.5" customHeight="1" x14ac:dyDescent="0.25">
      <c r="A15" s="113" t="s">
        <v>378</v>
      </c>
      <c r="B15" s="114"/>
      <c r="C15" s="115" t="s">
        <v>379</v>
      </c>
      <c r="D15" s="115"/>
      <c r="E15" s="115"/>
      <c r="F15" s="116" t="s">
        <v>437</v>
      </c>
      <c r="G15" s="116"/>
      <c r="H15" s="116"/>
      <c r="I15" s="73">
        <v>0.3</v>
      </c>
    </row>
    <row r="16" spans="1:9" ht="96" customHeight="1" x14ac:dyDescent="0.25">
      <c r="A16" s="117" t="s">
        <v>11</v>
      </c>
      <c r="B16" s="117"/>
      <c r="C16" s="118" t="s">
        <v>380</v>
      </c>
      <c r="D16" s="118"/>
      <c r="E16" s="118"/>
      <c r="F16" s="116" t="s">
        <v>438</v>
      </c>
      <c r="G16" s="116"/>
      <c r="H16" s="116"/>
      <c r="I16" s="71">
        <v>0.6</v>
      </c>
    </row>
    <row r="17" spans="1:9" ht="80.25" customHeight="1" x14ac:dyDescent="0.25">
      <c r="A17" s="105" t="s">
        <v>12</v>
      </c>
      <c r="B17" s="106"/>
      <c r="C17" s="107" t="s">
        <v>381</v>
      </c>
      <c r="D17" s="108"/>
      <c r="E17" s="109"/>
      <c r="F17" s="110" t="s">
        <v>439</v>
      </c>
      <c r="G17" s="111"/>
      <c r="H17" s="112"/>
      <c r="I17" s="71">
        <v>1</v>
      </c>
    </row>
  </sheetData>
  <mergeCells count="28">
    <mergeCell ref="A9:I9"/>
    <mergeCell ref="A10:I10"/>
    <mergeCell ref="A1:I1"/>
    <mergeCell ref="A2:I2"/>
    <mergeCell ref="A4:I4"/>
    <mergeCell ref="A3:I3"/>
    <mergeCell ref="A5:I5"/>
    <mergeCell ref="A11:B11"/>
    <mergeCell ref="C11:E11"/>
    <mergeCell ref="F11:H11"/>
    <mergeCell ref="A12:B12"/>
    <mergeCell ref="C12:E12"/>
    <mergeCell ref="F12:H12"/>
    <mergeCell ref="A13:B13"/>
    <mergeCell ref="C13:E13"/>
    <mergeCell ref="F13:H13"/>
    <mergeCell ref="A14:B14"/>
    <mergeCell ref="C14:E14"/>
    <mergeCell ref="F14:H14"/>
    <mergeCell ref="A17:B17"/>
    <mergeCell ref="C17:E17"/>
    <mergeCell ref="F17:H17"/>
    <mergeCell ref="A15:B15"/>
    <mergeCell ref="C15:E15"/>
    <mergeCell ref="F15:H15"/>
    <mergeCell ref="A16:B16"/>
    <mergeCell ref="C16:E16"/>
    <mergeCell ref="F16:H16"/>
  </mergeCells>
  <pageMargins left="0.7" right="0.7" top="0.75" bottom="0.75" header="0.3" footer="0.3"/>
  <pageSetup orientation="landscape"/>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1"/>
  <sheetViews>
    <sheetView zoomScale="70" zoomScaleNormal="70" workbookViewId="0">
      <pane ySplit="4" topLeftCell="A5" activePane="bottomLeft" state="frozen"/>
      <selection pane="bottomLeft" activeCell="C12" sqref="C12:J12"/>
    </sheetView>
  </sheetViews>
  <sheetFormatPr baseColWidth="10" defaultRowHeight="15.75" x14ac:dyDescent="0.25"/>
  <cols>
    <col min="1" max="1" width="4.5703125" style="34" customWidth="1"/>
    <col min="2" max="2" width="30.85546875" style="34" customWidth="1"/>
    <col min="3" max="3" width="13.28515625" style="9" customWidth="1"/>
    <col min="4" max="4" width="14.5703125" style="9" customWidth="1"/>
    <col min="5" max="7" width="13.28515625" style="10" customWidth="1"/>
    <col min="8" max="9" width="13.28515625" style="11" customWidth="1"/>
    <col min="10" max="10" width="13.28515625" style="1" customWidth="1"/>
    <col min="11" max="13" width="11.42578125" style="1"/>
  </cols>
  <sheetData>
    <row r="1" spans="1:13" ht="94.5" customHeight="1" x14ac:dyDescent="0.25">
      <c r="A1" s="163" t="s">
        <v>382</v>
      </c>
      <c r="B1" s="163"/>
      <c r="C1" s="163"/>
      <c r="D1" s="163"/>
      <c r="E1" s="163"/>
      <c r="F1" s="163"/>
      <c r="G1" s="163"/>
      <c r="H1" s="163"/>
      <c r="I1" s="163"/>
      <c r="J1" s="163"/>
    </row>
    <row r="2" spans="1:13" s="75" customFormat="1" ht="129.75" customHeight="1" x14ac:dyDescent="0.25">
      <c r="A2" s="164" t="s">
        <v>383</v>
      </c>
      <c r="B2" s="164"/>
      <c r="C2" s="164"/>
      <c r="D2" s="164"/>
      <c r="E2" s="164"/>
      <c r="F2" s="164"/>
      <c r="G2" s="164"/>
      <c r="H2" s="164"/>
      <c r="I2" s="164"/>
      <c r="J2" s="164"/>
      <c r="K2" s="74"/>
      <c r="L2" s="74"/>
      <c r="M2" s="74"/>
    </row>
    <row r="3" spans="1:13" s="75" customFormat="1" x14ac:dyDescent="0.25">
      <c r="A3" s="165"/>
      <c r="B3" s="165"/>
      <c r="C3" s="165"/>
      <c r="D3" s="165"/>
      <c r="E3" s="165"/>
      <c r="F3" s="165"/>
      <c r="G3" s="165"/>
      <c r="H3" s="165"/>
      <c r="I3" s="165"/>
      <c r="J3" s="165"/>
      <c r="K3" s="74"/>
      <c r="L3" s="74"/>
      <c r="M3" s="74"/>
    </row>
    <row r="4" spans="1:13" s="75" customFormat="1" ht="16.5" customHeight="1" x14ac:dyDescent="0.25">
      <c r="A4" s="166" t="s">
        <v>384</v>
      </c>
      <c r="B4" s="166"/>
      <c r="C4" s="166"/>
      <c r="D4" s="166"/>
      <c r="E4" s="166"/>
      <c r="F4" s="166"/>
      <c r="G4" s="166"/>
      <c r="H4" s="166"/>
      <c r="I4" s="166"/>
      <c r="J4" s="166"/>
      <c r="K4" s="74"/>
      <c r="L4" s="74"/>
      <c r="M4" s="74"/>
    </row>
    <row r="5" spans="1:13" s="75" customFormat="1" ht="15" customHeight="1" x14ac:dyDescent="0.25">
      <c r="A5" s="167" t="s">
        <v>385</v>
      </c>
      <c r="B5" s="167"/>
      <c r="C5" s="159"/>
      <c r="D5" s="159"/>
      <c r="E5" s="168" t="s">
        <v>386</v>
      </c>
      <c r="F5" s="168"/>
      <c r="G5" s="168"/>
      <c r="H5" s="169"/>
      <c r="I5" s="169"/>
      <c r="J5" s="169"/>
      <c r="K5" s="74"/>
      <c r="L5" s="74"/>
      <c r="M5" s="74"/>
    </row>
    <row r="6" spans="1:13" s="77" customFormat="1" ht="31.5" customHeight="1" x14ac:dyDescent="0.25">
      <c r="A6" s="158" t="s">
        <v>387</v>
      </c>
      <c r="B6" s="158"/>
      <c r="C6" s="162" t="s">
        <v>388</v>
      </c>
      <c r="D6" s="162"/>
      <c r="E6" s="162"/>
      <c r="F6" s="162"/>
      <c r="G6" s="148" t="s">
        <v>389</v>
      </c>
      <c r="H6" s="148"/>
      <c r="I6" s="148"/>
      <c r="J6" s="148"/>
      <c r="K6" s="76"/>
      <c r="L6" s="76"/>
      <c r="M6" s="76"/>
    </row>
    <row r="7" spans="1:13" s="77" customFormat="1" x14ac:dyDescent="0.25">
      <c r="A7" s="158" t="s">
        <v>390</v>
      </c>
      <c r="B7" s="158"/>
      <c r="C7" s="161"/>
      <c r="D7" s="161"/>
      <c r="E7" s="161"/>
      <c r="F7" s="161"/>
      <c r="G7" s="161"/>
      <c r="H7" s="161"/>
      <c r="I7" s="161"/>
      <c r="J7" s="161"/>
      <c r="K7" s="76"/>
      <c r="L7" s="76"/>
      <c r="M7" s="76"/>
    </row>
    <row r="8" spans="1:13" s="77" customFormat="1" ht="15" customHeight="1" x14ac:dyDescent="0.25">
      <c r="A8" s="158" t="s">
        <v>391</v>
      </c>
      <c r="B8" s="158"/>
      <c r="C8" s="159"/>
      <c r="D8" s="159"/>
      <c r="E8" s="159"/>
      <c r="F8" s="159"/>
      <c r="G8" s="159"/>
      <c r="H8" s="159"/>
      <c r="I8" s="159"/>
      <c r="J8" s="159"/>
      <c r="K8" s="76"/>
      <c r="L8" s="76"/>
      <c r="M8" s="76"/>
    </row>
    <row r="9" spans="1:13" s="77" customFormat="1" ht="15.75" customHeight="1" x14ac:dyDescent="0.25">
      <c r="A9" s="78" t="s">
        <v>392</v>
      </c>
      <c r="B9" s="79"/>
      <c r="C9" s="159"/>
      <c r="D9" s="159"/>
      <c r="E9" s="159"/>
      <c r="F9" s="159"/>
      <c r="G9" s="159"/>
      <c r="H9" s="159"/>
      <c r="I9" s="159"/>
      <c r="J9" s="159"/>
      <c r="K9" s="76"/>
      <c r="L9" s="76"/>
      <c r="M9" s="76"/>
    </row>
    <row r="10" spans="1:13" s="77" customFormat="1" ht="15.75" customHeight="1" x14ac:dyDescent="0.25">
      <c r="A10" s="158" t="s">
        <v>393</v>
      </c>
      <c r="B10" s="158"/>
      <c r="C10" s="159"/>
      <c r="D10" s="159"/>
      <c r="E10" s="159"/>
      <c r="F10" s="159"/>
      <c r="G10" s="159"/>
      <c r="H10" s="159"/>
      <c r="I10" s="159"/>
      <c r="J10" s="159"/>
      <c r="K10" s="76"/>
      <c r="L10" s="76"/>
      <c r="M10" s="76"/>
    </row>
    <row r="11" spans="1:13" s="77" customFormat="1" ht="15.75" customHeight="1" x14ac:dyDescent="0.25">
      <c r="A11" s="158" t="s">
        <v>394</v>
      </c>
      <c r="B11" s="158"/>
      <c r="C11" s="159"/>
      <c r="D11" s="159"/>
      <c r="E11" s="159"/>
      <c r="F11" s="159"/>
      <c r="G11" s="159"/>
      <c r="H11" s="159"/>
      <c r="I11" s="159"/>
      <c r="J11" s="159"/>
      <c r="K11" s="76"/>
      <c r="L11" s="76"/>
      <c r="M11" s="76"/>
    </row>
    <row r="12" spans="1:13" s="77" customFormat="1" ht="15.75" customHeight="1" x14ac:dyDescent="0.25">
      <c r="A12" s="158" t="s">
        <v>92</v>
      </c>
      <c r="B12" s="158"/>
      <c r="C12" s="159"/>
      <c r="D12" s="159"/>
      <c r="E12" s="159"/>
      <c r="F12" s="159"/>
      <c r="G12" s="159"/>
      <c r="H12" s="159"/>
      <c r="I12" s="159"/>
      <c r="J12" s="159"/>
      <c r="K12" s="76"/>
      <c r="L12" s="76"/>
      <c r="M12" s="76"/>
    </row>
    <row r="13" spans="1:13" s="77" customFormat="1" ht="15.75" customHeight="1" x14ac:dyDescent="0.25">
      <c r="A13" s="158" t="s">
        <v>395</v>
      </c>
      <c r="B13" s="158"/>
      <c r="C13" s="159"/>
      <c r="D13" s="159"/>
      <c r="E13" s="159"/>
      <c r="F13" s="159"/>
      <c r="G13" s="159"/>
      <c r="H13" s="159"/>
      <c r="I13" s="159"/>
      <c r="J13" s="159"/>
      <c r="K13" s="76"/>
      <c r="L13" s="76"/>
      <c r="M13" s="76"/>
    </row>
    <row r="14" spans="1:13" s="77" customFormat="1" ht="15.75" customHeight="1" x14ac:dyDescent="0.25">
      <c r="A14" s="158" t="s">
        <v>396</v>
      </c>
      <c r="B14" s="158"/>
      <c r="C14" s="159"/>
      <c r="D14" s="159"/>
      <c r="E14" s="159"/>
      <c r="F14" s="159"/>
      <c r="G14" s="159"/>
      <c r="H14" s="159"/>
      <c r="I14" s="159"/>
      <c r="J14" s="159"/>
      <c r="K14" s="76"/>
      <c r="L14" s="76"/>
      <c r="M14" s="76"/>
    </row>
    <row r="15" spans="1:13" s="77" customFormat="1" ht="15.75" customHeight="1" x14ac:dyDescent="0.25">
      <c r="A15" s="158" t="s">
        <v>397</v>
      </c>
      <c r="B15" s="158"/>
      <c r="C15" s="159"/>
      <c r="D15" s="159"/>
      <c r="E15" s="159"/>
      <c r="F15" s="159"/>
      <c r="G15" s="159"/>
      <c r="H15" s="159"/>
      <c r="I15" s="159"/>
      <c r="J15" s="159"/>
      <c r="K15" s="76"/>
      <c r="L15" s="76"/>
      <c r="M15" s="76"/>
    </row>
    <row r="16" spans="1:13" s="77" customFormat="1" ht="33" customHeight="1" x14ac:dyDescent="0.25">
      <c r="A16" s="160" t="s">
        <v>398</v>
      </c>
      <c r="B16" s="160"/>
      <c r="C16" s="80" t="s">
        <v>399</v>
      </c>
      <c r="D16" s="80"/>
      <c r="E16" s="81" t="s">
        <v>400</v>
      </c>
      <c r="F16" s="82"/>
      <c r="G16" s="80" t="s">
        <v>401</v>
      </c>
      <c r="H16" s="82"/>
      <c r="I16" s="81" t="s">
        <v>402</v>
      </c>
      <c r="J16" s="83"/>
      <c r="L16" s="84"/>
      <c r="M16" s="76"/>
    </row>
    <row r="17" spans="1:13" s="77" customFormat="1" ht="15.75" customHeight="1" x14ac:dyDescent="0.25">
      <c r="A17" s="170"/>
      <c r="B17" s="170"/>
      <c r="C17" s="170"/>
      <c r="D17" s="170"/>
      <c r="E17" s="170"/>
      <c r="F17" s="170"/>
      <c r="G17" s="170"/>
      <c r="H17" s="170"/>
      <c r="I17" s="170"/>
      <c r="J17" s="170"/>
      <c r="K17" s="76"/>
      <c r="L17" s="76"/>
      <c r="M17" s="76"/>
    </row>
    <row r="18" spans="1:13" s="77" customFormat="1" ht="31.5" customHeight="1" x14ac:dyDescent="0.25">
      <c r="A18" s="171" t="s">
        <v>403</v>
      </c>
      <c r="B18" s="171"/>
      <c r="C18" s="85" t="s">
        <v>404</v>
      </c>
      <c r="D18" s="86"/>
      <c r="E18" s="80" t="s">
        <v>405</v>
      </c>
      <c r="F18" s="87"/>
      <c r="G18" s="172" t="s">
        <v>406</v>
      </c>
      <c r="H18" s="173"/>
      <c r="I18" s="174"/>
      <c r="J18" s="81"/>
      <c r="K18" s="76"/>
      <c r="L18" s="76"/>
      <c r="M18" s="76"/>
    </row>
    <row r="19" spans="1:13" s="77" customFormat="1" ht="15.75" customHeight="1" x14ac:dyDescent="0.25">
      <c r="A19" s="175" t="s">
        <v>407</v>
      </c>
      <c r="B19" s="175"/>
      <c r="C19" s="158" t="s">
        <v>408</v>
      </c>
      <c r="D19" s="158"/>
      <c r="E19" s="159"/>
      <c r="F19" s="159"/>
      <c r="G19" s="159"/>
      <c r="H19" s="159"/>
      <c r="I19" s="159"/>
      <c r="J19" s="159"/>
      <c r="K19" s="76"/>
      <c r="L19" s="76"/>
      <c r="M19" s="76"/>
    </row>
    <row r="20" spans="1:13" s="77" customFormat="1" ht="16.5" x14ac:dyDescent="0.25">
      <c r="A20" s="175"/>
      <c r="B20" s="175"/>
      <c r="C20" s="158" t="s">
        <v>409</v>
      </c>
      <c r="D20" s="158"/>
      <c r="E20" s="176"/>
      <c r="F20" s="176"/>
      <c r="G20" s="176"/>
      <c r="H20" s="176"/>
      <c r="I20" s="176"/>
      <c r="J20" s="176"/>
      <c r="K20" s="76"/>
      <c r="L20" s="76"/>
      <c r="M20" s="76"/>
    </row>
    <row r="21" spans="1:13" s="77" customFormat="1" ht="15.75" customHeight="1" x14ac:dyDescent="0.25">
      <c r="A21" s="175"/>
      <c r="B21" s="175"/>
      <c r="C21" s="158" t="s">
        <v>410</v>
      </c>
      <c r="D21" s="158"/>
      <c r="E21" s="177"/>
      <c r="F21" s="177"/>
      <c r="G21" s="177"/>
      <c r="H21" s="177"/>
      <c r="I21" s="177"/>
      <c r="J21" s="177"/>
      <c r="K21" s="76"/>
      <c r="L21" s="76"/>
      <c r="M21" s="76"/>
    </row>
    <row r="22" spans="1:13" s="77" customFormat="1" ht="15.75" customHeight="1" x14ac:dyDescent="0.25">
      <c r="A22" s="175"/>
      <c r="B22" s="175"/>
      <c r="C22" s="158" t="s">
        <v>411</v>
      </c>
      <c r="D22" s="158"/>
      <c r="E22" s="178"/>
      <c r="F22" s="178"/>
      <c r="G22" s="178"/>
      <c r="H22" s="178"/>
      <c r="I22" s="178"/>
      <c r="J22" s="178"/>
      <c r="K22" s="76"/>
      <c r="L22" s="76"/>
      <c r="M22" s="76"/>
    </row>
    <row r="23" spans="1:13" s="77" customFormat="1" x14ac:dyDescent="0.25">
      <c r="A23" s="175"/>
      <c r="B23" s="175"/>
      <c r="C23" s="158" t="s">
        <v>412</v>
      </c>
      <c r="D23" s="158"/>
      <c r="E23" s="179"/>
      <c r="F23" s="179"/>
      <c r="G23" s="179"/>
      <c r="H23" s="179"/>
      <c r="I23" s="179"/>
      <c r="J23" s="179"/>
      <c r="K23" s="76"/>
      <c r="L23" s="76"/>
      <c r="M23" s="76"/>
    </row>
    <row r="24" spans="1:13" s="77" customFormat="1" ht="15.75" customHeight="1" x14ac:dyDescent="0.25">
      <c r="A24" s="175"/>
      <c r="B24" s="175"/>
      <c r="C24" s="78" t="s">
        <v>413</v>
      </c>
      <c r="D24" s="78"/>
      <c r="E24" s="178"/>
      <c r="F24" s="178"/>
      <c r="G24" s="178"/>
      <c r="H24" s="178"/>
      <c r="I24" s="178"/>
      <c r="J24" s="178"/>
      <c r="K24" s="76"/>
      <c r="L24" s="76"/>
      <c r="M24" s="76"/>
    </row>
    <row r="25" spans="1:13" s="77" customFormat="1" ht="16.5" x14ac:dyDescent="0.25">
      <c r="A25" s="137" t="s">
        <v>414</v>
      </c>
      <c r="B25" s="137"/>
      <c r="C25" s="137"/>
      <c r="D25" s="137"/>
      <c r="E25" s="137"/>
      <c r="F25" s="137"/>
      <c r="G25" s="137"/>
      <c r="H25" s="137"/>
      <c r="I25" s="137"/>
      <c r="J25" s="137"/>
      <c r="K25" s="76"/>
      <c r="L25" s="76"/>
      <c r="M25" s="76"/>
    </row>
    <row r="26" spans="1:13" s="89" customFormat="1" ht="15" customHeight="1" x14ac:dyDescent="0.25">
      <c r="A26" s="136" t="s">
        <v>415</v>
      </c>
      <c r="B26" s="136"/>
      <c r="C26" s="155"/>
      <c r="D26" s="156"/>
      <c r="E26" s="156"/>
      <c r="F26" s="156"/>
      <c r="G26" s="156"/>
      <c r="H26" s="156"/>
      <c r="I26" s="156"/>
      <c r="J26" s="157"/>
      <c r="K26" s="88"/>
      <c r="L26" s="88"/>
      <c r="M26" s="88"/>
    </row>
    <row r="27" spans="1:13" s="89" customFormat="1" ht="15" customHeight="1" x14ac:dyDescent="0.2">
      <c r="A27" s="136" t="s">
        <v>416</v>
      </c>
      <c r="B27" s="136"/>
      <c r="C27" s="152"/>
      <c r="D27" s="153"/>
      <c r="E27" s="153"/>
      <c r="F27" s="153"/>
      <c r="G27" s="153"/>
      <c r="H27" s="153"/>
      <c r="I27" s="153"/>
      <c r="J27" s="154"/>
      <c r="K27" s="88"/>
      <c r="L27" s="88"/>
      <c r="M27" s="88"/>
    </row>
    <row r="28" spans="1:13" s="89" customFormat="1" ht="16.5" x14ac:dyDescent="0.2">
      <c r="A28" s="136" t="s">
        <v>92</v>
      </c>
      <c r="B28" s="136"/>
      <c r="C28" s="152"/>
      <c r="D28" s="153"/>
      <c r="E28" s="153"/>
      <c r="F28" s="153"/>
      <c r="G28" s="153"/>
      <c r="H28" s="153"/>
      <c r="I28" s="153"/>
      <c r="J28" s="154"/>
      <c r="K28" s="88"/>
      <c r="L28" s="88"/>
      <c r="M28" s="88"/>
    </row>
    <row r="29" spans="1:13" s="89" customFormat="1" ht="14.25" customHeight="1" x14ac:dyDescent="0.2">
      <c r="A29" s="136" t="s">
        <v>417</v>
      </c>
      <c r="B29" s="136"/>
      <c r="C29" s="152"/>
      <c r="D29" s="153"/>
      <c r="E29" s="153"/>
      <c r="F29" s="153"/>
      <c r="G29" s="153"/>
      <c r="H29" s="153"/>
      <c r="I29" s="153"/>
      <c r="J29" s="154"/>
      <c r="K29" s="88"/>
      <c r="L29" s="88"/>
      <c r="M29" s="88"/>
    </row>
    <row r="30" spans="1:13" s="89" customFormat="1" ht="14.25" customHeight="1" x14ac:dyDescent="0.2">
      <c r="A30" s="136" t="s">
        <v>397</v>
      </c>
      <c r="B30" s="136"/>
      <c r="C30" s="149"/>
      <c r="D30" s="150"/>
      <c r="E30" s="150"/>
      <c r="F30" s="150"/>
      <c r="G30" s="150"/>
      <c r="H30" s="150"/>
      <c r="I30" s="150"/>
      <c r="J30" s="151"/>
      <c r="K30" s="88"/>
      <c r="L30" s="88"/>
      <c r="M30" s="88"/>
    </row>
    <row r="31" spans="1:13" s="89" customFormat="1" ht="14.25" customHeight="1" x14ac:dyDescent="0.2">
      <c r="A31" s="136" t="s">
        <v>418</v>
      </c>
      <c r="B31" s="136"/>
      <c r="C31" s="149"/>
      <c r="D31" s="150"/>
      <c r="E31" s="150"/>
      <c r="F31" s="150"/>
      <c r="G31" s="150"/>
      <c r="H31" s="150"/>
      <c r="I31" s="150"/>
      <c r="J31" s="151"/>
      <c r="K31" s="88"/>
      <c r="L31" s="88"/>
      <c r="M31" s="88"/>
    </row>
    <row r="32" spans="1:13" s="89" customFormat="1" ht="14.25" customHeight="1" x14ac:dyDescent="0.2">
      <c r="A32" s="136" t="s">
        <v>419</v>
      </c>
      <c r="B32" s="136"/>
      <c r="C32" s="149"/>
      <c r="D32" s="150"/>
      <c r="E32" s="150"/>
      <c r="F32" s="150"/>
      <c r="G32" s="150"/>
      <c r="H32" s="150"/>
      <c r="I32" s="150"/>
      <c r="J32" s="151"/>
      <c r="K32" s="88"/>
      <c r="L32" s="88"/>
      <c r="M32" s="88"/>
    </row>
    <row r="33" spans="1:13" s="89" customFormat="1" ht="15.75" customHeight="1" x14ac:dyDescent="0.2">
      <c r="A33" s="137" t="s">
        <v>58</v>
      </c>
      <c r="B33" s="137"/>
      <c r="C33" s="137"/>
      <c r="D33" s="137"/>
      <c r="E33" s="137"/>
      <c r="F33" s="137"/>
      <c r="G33" s="137"/>
      <c r="H33" s="137"/>
      <c r="I33" s="137"/>
      <c r="J33" s="137"/>
      <c r="K33" s="88"/>
      <c r="L33" s="88"/>
      <c r="M33" s="88"/>
    </row>
    <row r="34" spans="1:13" s="89" customFormat="1" ht="16.5" x14ac:dyDescent="0.2">
      <c r="A34" s="142" t="s">
        <v>420</v>
      </c>
      <c r="B34" s="137"/>
      <c r="C34" s="137"/>
      <c r="D34" s="137"/>
      <c r="E34" s="143"/>
      <c r="F34" s="147" t="s">
        <v>59</v>
      </c>
      <c r="G34" s="147"/>
      <c r="H34" s="147"/>
      <c r="I34" s="142" t="s">
        <v>13</v>
      </c>
      <c r="J34" s="143"/>
      <c r="K34" s="88"/>
      <c r="L34" s="88"/>
      <c r="M34" s="88"/>
    </row>
    <row r="35" spans="1:13" s="89" customFormat="1" ht="15.75" customHeight="1" x14ac:dyDescent="0.2">
      <c r="A35" s="144"/>
      <c r="B35" s="145"/>
      <c r="C35" s="145"/>
      <c r="D35" s="145"/>
      <c r="E35" s="146"/>
      <c r="F35" s="90" t="s">
        <v>56</v>
      </c>
      <c r="G35" s="91" t="s">
        <v>57</v>
      </c>
      <c r="H35" s="90" t="s">
        <v>421</v>
      </c>
      <c r="I35" s="144"/>
      <c r="J35" s="146"/>
      <c r="K35" s="88"/>
      <c r="L35" s="88"/>
      <c r="M35" s="88"/>
    </row>
    <row r="36" spans="1:13" s="89" customFormat="1" ht="15.75" customHeight="1" x14ac:dyDescent="0.25">
      <c r="A36" s="148" t="s">
        <v>93</v>
      </c>
      <c r="B36" s="148"/>
      <c r="C36" s="148"/>
      <c r="D36" s="148"/>
      <c r="E36" s="148"/>
      <c r="F36" s="92"/>
      <c r="G36" s="92"/>
      <c r="H36" s="93"/>
      <c r="I36" s="93"/>
      <c r="J36" s="93"/>
      <c r="K36" s="88"/>
      <c r="L36" s="88"/>
      <c r="M36" s="88"/>
    </row>
    <row r="37" spans="1:13" s="89" customFormat="1" ht="15.75" customHeight="1" x14ac:dyDescent="0.25">
      <c r="A37" s="148" t="s">
        <v>422</v>
      </c>
      <c r="B37" s="148"/>
      <c r="C37" s="148"/>
      <c r="D37" s="148"/>
      <c r="E37" s="148"/>
      <c r="F37" s="94"/>
      <c r="G37" s="94"/>
      <c r="H37" s="94"/>
      <c r="I37" s="94"/>
      <c r="J37" s="93"/>
      <c r="K37" s="88"/>
      <c r="L37" s="88"/>
      <c r="M37" s="88"/>
    </row>
    <row r="38" spans="1:13" s="89" customFormat="1" x14ac:dyDescent="0.25">
      <c r="A38" s="136" t="s">
        <v>94</v>
      </c>
      <c r="B38" s="136"/>
      <c r="C38" s="136"/>
      <c r="D38" s="136"/>
      <c r="E38" s="136"/>
      <c r="F38" s="92"/>
      <c r="G38" s="92"/>
      <c r="H38" s="93"/>
      <c r="I38" s="93"/>
      <c r="J38" s="93"/>
      <c r="K38" s="88"/>
      <c r="L38" s="88"/>
      <c r="M38" s="88"/>
    </row>
    <row r="39" spans="1:13" s="89" customFormat="1" ht="15.75" customHeight="1" x14ac:dyDescent="0.25">
      <c r="A39" s="136" t="s">
        <v>95</v>
      </c>
      <c r="B39" s="136"/>
      <c r="C39" s="136"/>
      <c r="D39" s="136"/>
      <c r="E39" s="136"/>
      <c r="F39" s="94"/>
      <c r="G39" s="94"/>
      <c r="H39" s="94"/>
      <c r="I39" s="94"/>
      <c r="J39" s="93"/>
      <c r="K39" s="88"/>
      <c r="L39" s="88"/>
      <c r="M39" s="88"/>
    </row>
    <row r="40" spans="1:13" s="89" customFormat="1" ht="15.75" customHeight="1" x14ac:dyDescent="0.25">
      <c r="A40" s="136" t="s">
        <v>423</v>
      </c>
      <c r="B40" s="136"/>
      <c r="C40" s="136"/>
      <c r="D40" s="136"/>
      <c r="E40" s="136"/>
      <c r="F40" s="92"/>
      <c r="G40" s="92"/>
      <c r="H40" s="93"/>
      <c r="I40" s="93"/>
      <c r="J40" s="93"/>
      <c r="K40" s="88"/>
      <c r="L40" s="88"/>
      <c r="M40" s="88"/>
    </row>
    <row r="41" spans="1:13" s="89" customFormat="1" ht="15.75" customHeight="1" x14ac:dyDescent="0.25">
      <c r="A41" s="136" t="s">
        <v>424</v>
      </c>
      <c r="B41" s="136"/>
      <c r="C41" s="136"/>
      <c r="D41" s="136"/>
      <c r="E41" s="136"/>
      <c r="F41" s="92"/>
      <c r="G41" s="92"/>
      <c r="H41" s="93"/>
      <c r="I41" s="93"/>
      <c r="J41" s="93"/>
      <c r="K41" s="88"/>
      <c r="L41" s="88"/>
      <c r="M41" s="88"/>
    </row>
    <row r="42" spans="1:13" s="89" customFormat="1" ht="15.75" customHeight="1" x14ac:dyDescent="0.25">
      <c r="A42" s="136" t="s">
        <v>425</v>
      </c>
      <c r="B42" s="136"/>
      <c r="C42" s="136"/>
      <c r="D42" s="136"/>
      <c r="E42" s="136"/>
      <c r="F42" s="92"/>
      <c r="G42" s="92"/>
      <c r="H42" s="93"/>
      <c r="I42" s="93"/>
      <c r="J42" s="93"/>
      <c r="K42" s="88"/>
      <c r="L42" s="88"/>
      <c r="M42" s="88"/>
    </row>
    <row r="43" spans="1:13" s="89" customFormat="1" ht="33" customHeight="1" x14ac:dyDescent="0.25">
      <c r="A43" s="136" t="s">
        <v>426</v>
      </c>
      <c r="B43" s="136"/>
      <c r="C43" s="136"/>
      <c r="D43" s="136"/>
      <c r="E43" s="136"/>
      <c r="F43" s="92"/>
      <c r="G43" s="92"/>
      <c r="H43" s="93"/>
      <c r="I43" s="93"/>
      <c r="J43" s="93"/>
      <c r="K43" s="88"/>
      <c r="L43" s="88"/>
      <c r="M43" s="88"/>
    </row>
    <row r="44" spans="1:13" s="89" customFormat="1" ht="15" customHeight="1" x14ac:dyDescent="0.25">
      <c r="A44" s="136" t="s">
        <v>427</v>
      </c>
      <c r="B44" s="136"/>
      <c r="C44" s="136"/>
      <c r="D44" s="136"/>
      <c r="E44" s="136"/>
      <c r="F44" s="92"/>
      <c r="G44" s="92"/>
      <c r="H44" s="93"/>
      <c r="I44" s="93"/>
      <c r="J44" s="93"/>
      <c r="K44" s="88"/>
      <c r="L44" s="88"/>
      <c r="M44" s="88"/>
    </row>
    <row r="45" spans="1:13" s="89" customFormat="1" ht="13.5" customHeight="1" x14ac:dyDescent="0.2">
      <c r="A45" s="137"/>
      <c r="B45" s="137"/>
      <c r="C45" s="137"/>
      <c r="D45" s="137"/>
      <c r="E45" s="137"/>
      <c r="F45" s="137"/>
      <c r="G45" s="137"/>
      <c r="H45" s="137"/>
      <c r="I45" s="137"/>
      <c r="J45" s="137"/>
      <c r="K45" s="88"/>
      <c r="L45" s="88"/>
      <c r="M45" s="88"/>
    </row>
    <row r="46" spans="1:13" s="89" customFormat="1" ht="51.75" customHeight="1" x14ac:dyDescent="0.25">
      <c r="A46" s="93"/>
      <c r="B46" s="136" t="s">
        <v>428</v>
      </c>
      <c r="C46" s="136"/>
      <c r="D46" s="136"/>
      <c r="E46" s="136"/>
      <c r="F46" s="136"/>
      <c r="G46" s="136"/>
      <c r="H46" s="136"/>
      <c r="I46" s="136"/>
      <c r="J46" s="136"/>
      <c r="K46" s="88"/>
      <c r="L46" s="88"/>
      <c r="M46" s="88"/>
    </row>
    <row r="47" spans="1:13" s="89" customFormat="1" ht="52.5" customHeight="1" x14ac:dyDescent="0.25">
      <c r="A47" s="93"/>
      <c r="B47" s="136" t="s">
        <v>429</v>
      </c>
      <c r="C47" s="136"/>
      <c r="D47" s="136"/>
      <c r="E47" s="136"/>
      <c r="F47" s="136"/>
      <c r="G47" s="136"/>
      <c r="H47" s="136"/>
      <c r="I47" s="136"/>
      <c r="J47" s="136"/>
      <c r="K47" s="88"/>
      <c r="L47" s="88"/>
      <c r="M47" s="88"/>
    </row>
    <row r="48" spans="1:13" s="89" customFormat="1" ht="33.75" customHeight="1" x14ac:dyDescent="0.25">
      <c r="A48" s="93"/>
      <c r="B48" s="136" t="s">
        <v>430</v>
      </c>
      <c r="C48" s="136"/>
      <c r="D48" s="136"/>
      <c r="E48" s="136"/>
      <c r="F48" s="136"/>
      <c r="G48" s="136"/>
      <c r="H48" s="136"/>
      <c r="I48" s="136"/>
      <c r="J48" s="136"/>
      <c r="K48" s="88"/>
      <c r="L48" s="88"/>
      <c r="M48" s="88"/>
    </row>
    <row r="49" spans="1:13" s="89" customFormat="1" ht="16.5" x14ac:dyDescent="0.25">
      <c r="A49" s="95"/>
      <c r="B49" s="95"/>
      <c r="C49" s="96"/>
      <c r="D49" s="96"/>
      <c r="E49" s="96"/>
      <c r="F49" s="96"/>
      <c r="G49" s="96"/>
      <c r="H49" s="97"/>
      <c r="I49" s="97"/>
      <c r="J49" s="98"/>
      <c r="K49" s="88"/>
      <c r="L49" s="88"/>
      <c r="M49" s="88"/>
    </row>
    <row r="50" spans="1:13" s="89" customFormat="1" ht="13.5" customHeight="1" x14ac:dyDescent="0.2">
      <c r="A50" s="139" t="s">
        <v>431</v>
      </c>
      <c r="B50" s="139"/>
      <c r="C50" s="139"/>
      <c r="D50" s="139"/>
      <c r="E50" s="139"/>
      <c r="F50" s="139"/>
      <c r="G50" s="139"/>
      <c r="H50" s="139"/>
      <c r="I50" s="139"/>
      <c r="J50" s="139"/>
      <c r="K50" s="88"/>
      <c r="L50" s="88"/>
      <c r="M50" s="88"/>
    </row>
    <row r="51" spans="1:13" s="89" customFormat="1" ht="13.5" customHeight="1" x14ac:dyDescent="0.25">
      <c r="A51" s="140" t="s">
        <v>432</v>
      </c>
      <c r="B51" s="140"/>
      <c r="C51" s="140"/>
      <c r="D51" s="140"/>
      <c r="E51" s="140"/>
      <c r="F51" s="140"/>
      <c r="G51" s="140"/>
      <c r="H51" s="140"/>
      <c r="I51" s="140"/>
      <c r="J51" s="140"/>
      <c r="K51" s="88"/>
      <c r="L51" s="88"/>
      <c r="M51" s="88"/>
    </row>
    <row r="52" spans="1:13" s="77" customFormat="1" ht="16.5" x14ac:dyDescent="0.25">
      <c r="A52" s="99"/>
      <c r="B52" s="99"/>
      <c r="C52" s="99"/>
      <c r="D52" s="99"/>
      <c r="E52" s="99"/>
      <c r="F52" s="99"/>
      <c r="G52" s="99"/>
      <c r="H52" s="99"/>
      <c r="I52" s="99"/>
      <c r="J52" s="100"/>
      <c r="K52" s="76"/>
      <c r="L52" s="76"/>
      <c r="M52" s="76"/>
    </row>
    <row r="53" spans="1:13" s="77" customFormat="1" ht="16.5" x14ac:dyDescent="0.25">
      <c r="A53" s="141" t="s">
        <v>433</v>
      </c>
      <c r="B53" s="141"/>
      <c r="C53" s="141"/>
      <c r="D53" s="141"/>
      <c r="E53" s="141"/>
      <c r="F53" s="141"/>
      <c r="G53" s="141"/>
      <c r="H53" s="141"/>
      <c r="I53" s="141"/>
      <c r="J53" s="141"/>
      <c r="K53" s="76"/>
      <c r="L53" s="76"/>
      <c r="M53" s="76"/>
    </row>
    <row r="54" spans="1:13" s="77" customFormat="1" ht="50.25" customHeight="1" x14ac:dyDescent="0.25">
      <c r="A54" s="101"/>
      <c r="B54" s="101"/>
      <c r="C54" s="101"/>
      <c r="D54" s="101"/>
      <c r="E54" s="101"/>
      <c r="F54" s="101"/>
      <c r="G54" s="101"/>
      <c r="H54" s="101"/>
      <c r="I54" s="101"/>
      <c r="J54" s="100"/>
      <c r="K54" s="76"/>
      <c r="L54" s="76"/>
      <c r="M54" s="76"/>
    </row>
    <row r="55" spans="1:13" s="77" customFormat="1" ht="16.5" x14ac:dyDescent="0.25">
      <c r="A55" s="138" t="s">
        <v>434</v>
      </c>
      <c r="B55" s="138"/>
      <c r="C55" s="138"/>
      <c r="D55" s="138"/>
      <c r="E55" s="138"/>
      <c r="F55" s="138"/>
      <c r="G55" s="138"/>
      <c r="H55" s="138"/>
      <c r="I55" s="138"/>
      <c r="J55" s="138"/>
      <c r="K55" s="76"/>
      <c r="L55" s="76"/>
      <c r="M55" s="76"/>
    </row>
    <row r="56" spans="1:13" s="77" customFormat="1" ht="15" x14ac:dyDescent="0.25">
      <c r="A56" s="102"/>
      <c r="B56" s="102"/>
      <c r="C56" s="102"/>
      <c r="D56" s="102"/>
      <c r="E56" s="102"/>
      <c r="F56" s="102"/>
      <c r="G56" s="102"/>
      <c r="H56" s="102"/>
      <c r="I56" s="102"/>
      <c r="J56" s="103"/>
      <c r="K56" s="76"/>
      <c r="L56" s="76"/>
      <c r="M56" s="76"/>
    </row>
    <row r="57" spans="1:13" s="77" customFormat="1" ht="15" x14ac:dyDescent="0.25">
      <c r="A57" s="88"/>
      <c r="B57" s="88"/>
      <c r="C57" s="88"/>
      <c r="D57" s="88"/>
      <c r="E57" s="88"/>
      <c r="F57" s="88"/>
      <c r="G57" s="89"/>
      <c r="H57" s="89"/>
      <c r="I57" s="89"/>
      <c r="J57" s="76"/>
      <c r="K57" s="76"/>
      <c r="L57" s="76"/>
      <c r="M57" s="76"/>
    </row>
    <row r="58" spans="1:13" s="77" customFormat="1" ht="15" x14ac:dyDescent="0.25">
      <c r="A58" s="88"/>
      <c r="B58" s="88"/>
      <c r="C58" s="88"/>
      <c r="D58" s="88"/>
      <c r="E58" s="88"/>
      <c r="F58" s="88"/>
      <c r="G58" s="89"/>
      <c r="H58" s="89"/>
      <c r="I58" s="89"/>
      <c r="J58" s="76"/>
      <c r="K58" s="76"/>
      <c r="L58" s="76"/>
      <c r="M58" s="76"/>
    </row>
    <row r="59" spans="1:13" s="77" customFormat="1" ht="15" x14ac:dyDescent="0.25">
      <c r="A59" s="88"/>
      <c r="B59" s="88"/>
      <c r="C59" s="88"/>
      <c r="D59" s="88"/>
      <c r="E59" s="88"/>
      <c r="F59" s="88"/>
      <c r="G59" s="89"/>
      <c r="H59" s="89"/>
      <c r="I59" s="89"/>
      <c r="J59" s="76"/>
      <c r="K59" s="76"/>
      <c r="L59" s="76"/>
      <c r="M59" s="76"/>
    </row>
    <row r="60" spans="1:13" s="77" customFormat="1" ht="15" x14ac:dyDescent="0.25">
      <c r="A60" s="88"/>
      <c r="B60" s="88"/>
      <c r="C60" s="88"/>
      <c r="D60" s="88"/>
      <c r="E60" s="88"/>
      <c r="F60" s="88"/>
      <c r="G60" s="89"/>
      <c r="H60" s="89"/>
      <c r="I60" s="89"/>
      <c r="J60" s="76"/>
      <c r="K60" s="76"/>
      <c r="L60" s="76"/>
      <c r="M60" s="76"/>
    </row>
    <row r="61" spans="1:13" s="77" customFormat="1" ht="15" x14ac:dyDescent="0.25">
      <c r="A61" s="76"/>
      <c r="B61" s="76"/>
      <c r="C61" s="76"/>
      <c r="D61" s="76"/>
      <c r="E61" s="76"/>
      <c r="F61" s="76"/>
      <c r="J61" s="76"/>
      <c r="K61" s="76"/>
      <c r="L61" s="76"/>
      <c r="M61" s="76"/>
    </row>
  </sheetData>
  <mergeCells count="80">
    <mergeCell ref="C20:D20"/>
    <mergeCell ref="A17:J17"/>
    <mergeCell ref="A18:B18"/>
    <mergeCell ref="G18:I18"/>
    <mergeCell ref="A19:B24"/>
    <mergeCell ref="E19:J19"/>
    <mergeCell ref="E20:J20"/>
    <mergeCell ref="E21:J21"/>
    <mergeCell ref="E22:J22"/>
    <mergeCell ref="C23:D23"/>
    <mergeCell ref="C19:D19"/>
    <mergeCell ref="C22:D22"/>
    <mergeCell ref="C21:D21"/>
    <mergeCell ref="E23:J23"/>
    <mergeCell ref="E24:J24"/>
    <mergeCell ref="A1:J1"/>
    <mergeCell ref="A2:J2"/>
    <mergeCell ref="A3:J3"/>
    <mergeCell ref="A4:J4"/>
    <mergeCell ref="A5:B5"/>
    <mergeCell ref="C5:D5"/>
    <mergeCell ref="E5:G5"/>
    <mergeCell ref="H5:J5"/>
    <mergeCell ref="G6:J6"/>
    <mergeCell ref="C7:J7"/>
    <mergeCell ref="C8:J8"/>
    <mergeCell ref="C9:J9"/>
    <mergeCell ref="A10:B10"/>
    <mergeCell ref="C10:J10"/>
    <mergeCell ref="A6:B6"/>
    <mergeCell ref="A7:B7"/>
    <mergeCell ref="A8:B8"/>
    <mergeCell ref="C6:F6"/>
    <mergeCell ref="A11:B11"/>
    <mergeCell ref="C11:J11"/>
    <mergeCell ref="A12:B12"/>
    <mergeCell ref="C12:J12"/>
    <mergeCell ref="A13:B13"/>
    <mergeCell ref="C13:J13"/>
    <mergeCell ref="A14:B14"/>
    <mergeCell ref="C14:J14"/>
    <mergeCell ref="A15:B15"/>
    <mergeCell ref="C15:J15"/>
    <mergeCell ref="A16:B16"/>
    <mergeCell ref="A25:J25"/>
    <mergeCell ref="A26:B26"/>
    <mergeCell ref="C26:J26"/>
    <mergeCell ref="A27:B27"/>
    <mergeCell ref="C27:J27"/>
    <mergeCell ref="A28:B28"/>
    <mergeCell ref="C28:J28"/>
    <mergeCell ref="A29:B29"/>
    <mergeCell ref="C29:J29"/>
    <mergeCell ref="A30:B30"/>
    <mergeCell ref="C30:J30"/>
    <mergeCell ref="A31:B31"/>
    <mergeCell ref="C31:J31"/>
    <mergeCell ref="A32:B32"/>
    <mergeCell ref="C32:J32"/>
    <mergeCell ref="A33:J33"/>
    <mergeCell ref="A34:E35"/>
    <mergeCell ref="F34:H34"/>
    <mergeCell ref="I34:J35"/>
    <mergeCell ref="A36:E36"/>
    <mergeCell ref="A37:E37"/>
    <mergeCell ref="A38:E38"/>
    <mergeCell ref="A39:E39"/>
    <mergeCell ref="A40:E40"/>
    <mergeCell ref="A41:E41"/>
    <mergeCell ref="A42:E42"/>
    <mergeCell ref="A43:E43"/>
    <mergeCell ref="A44:E44"/>
    <mergeCell ref="A45:J45"/>
    <mergeCell ref="B46:J46"/>
    <mergeCell ref="A55:J55"/>
    <mergeCell ref="B47:J47"/>
    <mergeCell ref="B48:J48"/>
    <mergeCell ref="A50:J50"/>
    <mergeCell ref="A51:J51"/>
    <mergeCell ref="A53:J53"/>
  </mergeCells>
  <printOptions horizontalCentered="1" verticalCentered="1"/>
  <pageMargins left="0.70866141732283472" right="0.70866141732283472" top="0.74803149606299213" bottom="0.74803149606299213" header="0.31496062992125984" footer="0.31496062992125984"/>
  <pageSetup scale="79" fitToHeight="0" orientation="portrait" r:id="rId1"/>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I160"/>
  <sheetViews>
    <sheetView zoomScale="70" zoomScaleNormal="70" zoomScalePageLayoutView="120" workbookViewId="0">
      <pane xSplit="2" ySplit="4" topLeftCell="C150" activePane="bottomRight" state="frozen"/>
      <selection pane="topRight" activeCell="C1" sqref="C1"/>
      <selection pane="bottomLeft" activeCell="A3" sqref="A3"/>
      <selection pane="bottomRight" activeCell="F149" sqref="F149:F152"/>
    </sheetView>
  </sheetViews>
  <sheetFormatPr baseColWidth="10" defaultRowHeight="15" x14ac:dyDescent="0.25"/>
  <cols>
    <col min="1" max="1" width="8.42578125" style="6" customWidth="1"/>
    <col min="2" max="2" width="4.140625" style="6" customWidth="1"/>
    <col min="3" max="3" width="4.7109375" style="17" customWidth="1"/>
    <col min="4" max="4" width="26.28515625" style="7" customWidth="1"/>
    <col min="5" max="5" width="5" style="7" customWidth="1"/>
    <col min="6" max="6" width="36.42578125" style="6" customWidth="1"/>
    <col min="7" max="7" width="5.140625" style="6" customWidth="1"/>
    <col min="8" max="8" width="23.42578125" style="62" customWidth="1"/>
    <col min="9" max="9" width="26.5703125" style="7" customWidth="1"/>
    <col min="10" max="14" width="3.7109375" style="6" customWidth="1"/>
    <col min="15" max="15" width="3.85546875" style="6" bestFit="1" customWidth="1"/>
    <col min="16" max="16" width="1.85546875" style="6" customWidth="1"/>
    <col min="17" max="22" width="4.140625" style="6" customWidth="1"/>
    <col min="23" max="23" width="2" style="6" customWidth="1"/>
    <col min="24" max="29" width="3.7109375" style="6" customWidth="1"/>
    <col min="30" max="30" width="19.7109375" style="6" customWidth="1"/>
    <col min="31" max="31" width="20.85546875" style="6" customWidth="1"/>
  </cols>
  <sheetData>
    <row r="1" spans="1:31" ht="30.75" customHeight="1" x14ac:dyDescent="0.25">
      <c r="A1" s="211" t="s">
        <v>96</v>
      </c>
      <c r="B1" s="211"/>
      <c r="C1" s="211"/>
      <c r="D1" s="211"/>
      <c r="E1" s="211"/>
      <c r="F1" s="211"/>
      <c r="G1" s="211"/>
      <c r="H1" s="211"/>
      <c r="I1" s="211"/>
      <c r="J1" s="211"/>
      <c r="K1" s="211"/>
      <c r="L1" s="211"/>
      <c r="M1" s="211"/>
      <c r="N1" s="211"/>
      <c r="O1" s="211"/>
      <c r="P1" s="211"/>
      <c r="Q1" s="211"/>
      <c r="R1" s="211"/>
      <c r="S1" s="211"/>
      <c r="T1" s="211"/>
      <c r="U1" s="211"/>
      <c r="V1" s="211"/>
      <c r="W1" s="211"/>
      <c r="X1" s="211"/>
      <c r="Y1" s="211"/>
      <c r="Z1" s="211"/>
      <c r="AA1" s="211"/>
      <c r="AB1" s="211"/>
      <c r="AC1" s="211"/>
      <c r="AD1" s="211"/>
      <c r="AE1" s="211"/>
    </row>
    <row r="2" spans="1:31" ht="27.75" customHeight="1" x14ac:dyDescent="0.25">
      <c r="A2" s="212"/>
      <c r="B2" s="212"/>
      <c r="C2" s="212"/>
      <c r="D2" s="212"/>
      <c r="E2" s="223" t="s">
        <v>21</v>
      </c>
      <c r="F2" s="224"/>
      <c r="G2" s="224"/>
      <c r="H2" s="224"/>
      <c r="I2" s="224"/>
      <c r="J2" s="224"/>
      <c r="K2" s="224"/>
      <c r="L2" s="224"/>
      <c r="M2" s="224"/>
      <c r="N2" s="224"/>
      <c r="O2" s="225"/>
      <c r="P2" s="220" t="s">
        <v>84</v>
      </c>
      <c r="Q2" s="221"/>
      <c r="R2" s="221"/>
      <c r="S2" s="221"/>
      <c r="T2" s="221"/>
      <c r="U2" s="221"/>
      <c r="V2" s="221"/>
      <c r="W2" s="221"/>
      <c r="X2" s="221"/>
      <c r="Y2" s="221"/>
      <c r="Z2" s="221"/>
      <c r="AA2" s="221"/>
      <c r="AB2" s="221"/>
      <c r="AC2" s="221"/>
      <c r="AD2" s="221"/>
      <c r="AE2" s="222"/>
    </row>
    <row r="3" spans="1:31" s="14" customFormat="1" x14ac:dyDescent="0.25">
      <c r="A3" s="213" t="s">
        <v>1</v>
      </c>
      <c r="B3" s="213" t="s">
        <v>0</v>
      </c>
      <c r="C3" s="215" t="s">
        <v>24</v>
      </c>
      <c r="D3" s="215"/>
      <c r="E3" s="213" t="s">
        <v>23</v>
      </c>
      <c r="F3" s="213"/>
      <c r="G3" s="215" t="s">
        <v>22</v>
      </c>
      <c r="H3" s="215"/>
      <c r="I3" s="216" t="s">
        <v>60</v>
      </c>
      <c r="J3" s="213" t="s">
        <v>7</v>
      </c>
      <c r="K3" s="213"/>
      <c r="L3" s="213"/>
      <c r="M3" s="213"/>
      <c r="N3" s="213"/>
      <c r="O3" s="213"/>
      <c r="P3" s="217"/>
      <c r="Q3" s="213" t="s">
        <v>16</v>
      </c>
      <c r="R3" s="213"/>
      <c r="S3" s="213"/>
      <c r="T3" s="213"/>
      <c r="U3" s="213"/>
      <c r="V3" s="213"/>
      <c r="W3" s="217"/>
      <c r="X3" s="213" t="s">
        <v>19</v>
      </c>
      <c r="Y3" s="213"/>
      <c r="Z3" s="213"/>
      <c r="AA3" s="213"/>
      <c r="AB3" s="213"/>
      <c r="AC3" s="213"/>
      <c r="AD3" s="213" t="s">
        <v>17</v>
      </c>
      <c r="AE3" s="215" t="s">
        <v>18</v>
      </c>
    </row>
    <row r="4" spans="1:31" s="14" customFormat="1" x14ac:dyDescent="0.25">
      <c r="A4" s="214"/>
      <c r="B4" s="214"/>
      <c r="C4" s="216"/>
      <c r="D4" s="216"/>
      <c r="E4" s="214"/>
      <c r="F4" s="214"/>
      <c r="G4" s="216"/>
      <c r="H4" s="216"/>
      <c r="I4" s="219"/>
      <c r="J4" s="42" t="s">
        <v>8</v>
      </c>
      <c r="K4" s="42" t="s">
        <v>9</v>
      </c>
      <c r="L4" s="42" t="s">
        <v>10</v>
      </c>
      <c r="M4" s="42" t="s">
        <v>378</v>
      </c>
      <c r="N4" s="42" t="s">
        <v>11</v>
      </c>
      <c r="O4" s="42" t="s">
        <v>12</v>
      </c>
      <c r="P4" s="218"/>
      <c r="Q4" s="42" t="s">
        <v>8</v>
      </c>
      <c r="R4" s="42" t="s">
        <v>9</v>
      </c>
      <c r="S4" s="42" t="s">
        <v>10</v>
      </c>
      <c r="T4" s="42" t="s">
        <v>378</v>
      </c>
      <c r="U4" s="42" t="s">
        <v>11</v>
      </c>
      <c r="V4" s="42" t="s">
        <v>12</v>
      </c>
      <c r="W4" s="218"/>
      <c r="X4" s="214"/>
      <c r="Y4" s="214"/>
      <c r="Z4" s="214"/>
      <c r="AA4" s="214"/>
      <c r="AB4" s="214"/>
      <c r="AC4" s="214"/>
      <c r="AD4" s="214"/>
      <c r="AE4" s="216"/>
    </row>
    <row r="5" spans="1:31" ht="36" x14ac:dyDescent="0.25">
      <c r="A5" s="187">
        <v>1</v>
      </c>
      <c r="B5" s="199" t="s">
        <v>15</v>
      </c>
      <c r="C5" s="194"/>
      <c r="D5" s="181" t="s">
        <v>2</v>
      </c>
      <c r="E5" s="194"/>
      <c r="F5" s="181" t="s">
        <v>333</v>
      </c>
      <c r="G5" s="36">
        <v>1</v>
      </c>
      <c r="H5" s="60" t="s">
        <v>334</v>
      </c>
      <c r="I5" s="180" t="s">
        <v>294</v>
      </c>
      <c r="J5" s="15"/>
      <c r="K5" s="15"/>
      <c r="L5" s="15"/>
      <c r="M5" s="15"/>
      <c r="N5" s="15"/>
      <c r="O5" s="15">
        <v>1</v>
      </c>
      <c r="P5" s="210"/>
      <c r="Q5" s="15">
        <v>0</v>
      </c>
      <c r="R5" s="15">
        <f>9*0.1</f>
        <v>0.9</v>
      </c>
      <c r="S5" s="15">
        <f>9*0.2</f>
        <v>1.8</v>
      </c>
      <c r="T5" s="15">
        <f>9*0.3</f>
        <v>2.6999999999999997</v>
      </c>
      <c r="U5" s="15">
        <f>9*0.6</f>
        <v>5.3999999999999995</v>
      </c>
      <c r="V5" s="15">
        <f>9*1</f>
        <v>9</v>
      </c>
      <c r="W5" s="13"/>
      <c r="X5" s="15">
        <f t="shared" ref="X5:AC5" si="0">J5*Q5</f>
        <v>0</v>
      </c>
      <c r="Y5" s="15">
        <f t="shared" si="0"/>
        <v>0</v>
      </c>
      <c r="Z5" s="15">
        <f t="shared" si="0"/>
        <v>0</v>
      </c>
      <c r="AA5" s="15">
        <f t="shared" si="0"/>
        <v>0</v>
      </c>
      <c r="AB5" s="15">
        <f t="shared" si="0"/>
        <v>0</v>
      </c>
      <c r="AC5" s="15">
        <f t="shared" si="0"/>
        <v>9</v>
      </c>
      <c r="AD5" s="15">
        <f t="shared" ref="AD5:AD11" si="1">X5+Y5+Z5+AA5+AB5+AC5</f>
        <v>9</v>
      </c>
      <c r="AE5" s="226">
        <f>SUM(AD5:AD42)</f>
        <v>345</v>
      </c>
    </row>
    <row r="6" spans="1:31" ht="36" x14ac:dyDescent="0.25">
      <c r="A6" s="188"/>
      <c r="B6" s="200"/>
      <c r="C6" s="196"/>
      <c r="D6" s="183"/>
      <c r="E6" s="196"/>
      <c r="F6" s="183"/>
      <c r="G6" s="36">
        <v>2</v>
      </c>
      <c r="H6" s="60" t="s">
        <v>97</v>
      </c>
      <c r="I6" s="180"/>
      <c r="J6" s="15"/>
      <c r="K6" s="15"/>
      <c r="L6" s="15"/>
      <c r="M6" s="15"/>
      <c r="N6" s="15"/>
      <c r="O6" s="15">
        <v>1</v>
      </c>
      <c r="P6" s="210"/>
      <c r="Q6" s="15">
        <v>0</v>
      </c>
      <c r="R6" s="15">
        <f t="shared" ref="R6:R9" si="2">9*0.1</f>
        <v>0.9</v>
      </c>
      <c r="S6" s="15">
        <f t="shared" ref="S6:S9" si="3">9*0.2</f>
        <v>1.8</v>
      </c>
      <c r="T6" s="15">
        <f t="shared" ref="T6:T9" si="4">9*0.3</f>
        <v>2.6999999999999997</v>
      </c>
      <c r="U6" s="15">
        <f t="shared" ref="U6:U9" si="5">9*0.6</f>
        <v>5.3999999999999995</v>
      </c>
      <c r="V6" s="15">
        <f t="shared" ref="V6:V9" si="6">9*1</f>
        <v>9</v>
      </c>
      <c r="W6" s="13"/>
      <c r="X6" s="15">
        <f t="shared" ref="X6:X27" si="7">J6*Q6</f>
        <v>0</v>
      </c>
      <c r="Y6" s="15">
        <f t="shared" ref="Y6:Y27" si="8">K6*R6</f>
        <v>0</v>
      </c>
      <c r="Z6" s="15">
        <f t="shared" ref="Z6:Z27" si="9">L6*S6</f>
        <v>0</v>
      </c>
      <c r="AA6" s="15">
        <f t="shared" ref="AA6:AA27" si="10">M6*T6</f>
        <v>0</v>
      </c>
      <c r="AB6" s="15">
        <f t="shared" ref="AB6:AB27" si="11">N6*U6</f>
        <v>0</v>
      </c>
      <c r="AC6" s="15">
        <f t="shared" ref="AC6:AC27" si="12">O6*V6</f>
        <v>9</v>
      </c>
      <c r="AD6" s="15">
        <f t="shared" si="1"/>
        <v>9</v>
      </c>
      <c r="AE6" s="226"/>
    </row>
    <row r="7" spans="1:31" ht="72" x14ac:dyDescent="0.25">
      <c r="A7" s="188"/>
      <c r="B7" s="200"/>
      <c r="C7" s="194"/>
      <c r="D7" s="181" t="s">
        <v>98</v>
      </c>
      <c r="E7" s="194"/>
      <c r="F7" s="181" t="s">
        <v>99</v>
      </c>
      <c r="G7" s="36">
        <v>3</v>
      </c>
      <c r="H7" s="60" t="s">
        <v>100</v>
      </c>
      <c r="I7" s="180" t="s">
        <v>293</v>
      </c>
      <c r="J7" s="15"/>
      <c r="K7" s="15"/>
      <c r="L7" s="15"/>
      <c r="M7" s="15"/>
      <c r="N7" s="15"/>
      <c r="O7" s="15">
        <v>1</v>
      </c>
      <c r="P7" s="210"/>
      <c r="Q7" s="15">
        <v>0</v>
      </c>
      <c r="R7" s="15">
        <f t="shared" si="2"/>
        <v>0.9</v>
      </c>
      <c r="S7" s="15">
        <f t="shared" si="3"/>
        <v>1.8</v>
      </c>
      <c r="T7" s="15">
        <f t="shared" si="4"/>
        <v>2.6999999999999997</v>
      </c>
      <c r="U7" s="15">
        <f t="shared" si="5"/>
        <v>5.3999999999999995</v>
      </c>
      <c r="V7" s="15">
        <f t="shared" si="6"/>
        <v>9</v>
      </c>
      <c r="W7" s="13"/>
      <c r="X7" s="15">
        <f t="shared" si="7"/>
        <v>0</v>
      </c>
      <c r="Y7" s="15">
        <f t="shared" si="8"/>
        <v>0</v>
      </c>
      <c r="Z7" s="15">
        <f t="shared" si="9"/>
        <v>0</v>
      </c>
      <c r="AA7" s="15">
        <f t="shared" si="10"/>
        <v>0</v>
      </c>
      <c r="AB7" s="15">
        <f t="shared" si="11"/>
        <v>0</v>
      </c>
      <c r="AC7" s="15">
        <f t="shared" si="12"/>
        <v>9</v>
      </c>
      <c r="AD7" s="15">
        <f t="shared" si="1"/>
        <v>9</v>
      </c>
      <c r="AE7" s="226"/>
    </row>
    <row r="8" spans="1:31" ht="48" x14ac:dyDescent="0.25">
      <c r="A8" s="188"/>
      <c r="B8" s="200"/>
      <c r="C8" s="196"/>
      <c r="D8" s="183"/>
      <c r="E8" s="196"/>
      <c r="F8" s="183"/>
      <c r="G8" s="36">
        <v>4</v>
      </c>
      <c r="H8" s="60" t="s">
        <v>101</v>
      </c>
      <c r="I8" s="180"/>
      <c r="J8" s="15"/>
      <c r="K8" s="15"/>
      <c r="L8" s="15"/>
      <c r="M8" s="15"/>
      <c r="N8" s="15"/>
      <c r="O8" s="15">
        <v>1</v>
      </c>
      <c r="P8" s="210"/>
      <c r="Q8" s="15">
        <v>0</v>
      </c>
      <c r="R8" s="15">
        <f t="shared" si="2"/>
        <v>0.9</v>
      </c>
      <c r="S8" s="15">
        <f t="shared" si="3"/>
        <v>1.8</v>
      </c>
      <c r="T8" s="15">
        <f t="shared" si="4"/>
        <v>2.6999999999999997</v>
      </c>
      <c r="U8" s="15">
        <f t="shared" si="5"/>
        <v>5.3999999999999995</v>
      </c>
      <c r="V8" s="15">
        <f t="shared" si="6"/>
        <v>9</v>
      </c>
      <c r="W8" s="13"/>
      <c r="X8" s="15">
        <f t="shared" si="7"/>
        <v>0</v>
      </c>
      <c r="Y8" s="15">
        <f t="shared" si="8"/>
        <v>0</v>
      </c>
      <c r="Z8" s="15">
        <f t="shared" si="9"/>
        <v>0</v>
      </c>
      <c r="AA8" s="15">
        <f t="shared" si="10"/>
        <v>0</v>
      </c>
      <c r="AB8" s="15">
        <f t="shared" si="11"/>
        <v>0</v>
      </c>
      <c r="AC8" s="15">
        <f t="shared" si="12"/>
        <v>9</v>
      </c>
      <c r="AD8" s="15">
        <f t="shared" si="1"/>
        <v>9</v>
      </c>
      <c r="AE8" s="226"/>
    </row>
    <row r="9" spans="1:31" ht="30.75" customHeight="1" x14ac:dyDescent="0.25">
      <c r="A9" s="188"/>
      <c r="B9" s="200"/>
      <c r="C9" s="194"/>
      <c r="D9" s="181" t="s">
        <v>3</v>
      </c>
      <c r="E9" s="194"/>
      <c r="F9" s="181" t="s">
        <v>335</v>
      </c>
      <c r="G9" s="36">
        <v>5</v>
      </c>
      <c r="H9" s="60" t="s">
        <v>102</v>
      </c>
      <c r="I9" s="180" t="s">
        <v>339</v>
      </c>
      <c r="J9" s="15"/>
      <c r="K9" s="15"/>
      <c r="L9" s="15"/>
      <c r="M9" s="15"/>
      <c r="N9" s="15"/>
      <c r="O9" s="15">
        <v>1</v>
      </c>
      <c r="P9" s="210"/>
      <c r="Q9" s="15">
        <v>0</v>
      </c>
      <c r="R9" s="15">
        <f t="shared" si="2"/>
        <v>0.9</v>
      </c>
      <c r="S9" s="15">
        <f t="shared" si="3"/>
        <v>1.8</v>
      </c>
      <c r="T9" s="15">
        <f t="shared" si="4"/>
        <v>2.6999999999999997</v>
      </c>
      <c r="U9" s="15">
        <f t="shared" si="5"/>
        <v>5.3999999999999995</v>
      </c>
      <c r="V9" s="15">
        <f t="shared" si="6"/>
        <v>9</v>
      </c>
      <c r="W9" s="13"/>
      <c r="X9" s="15">
        <f t="shared" si="7"/>
        <v>0</v>
      </c>
      <c r="Y9" s="15">
        <f t="shared" si="8"/>
        <v>0</v>
      </c>
      <c r="Z9" s="15">
        <f t="shared" si="9"/>
        <v>0</v>
      </c>
      <c r="AA9" s="15">
        <f t="shared" si="10"/>
        <v>0</v>
      </c>
      <c r="AB9" s="15">
        <f t="shared" si="11"/>
        <v>0</v>
      </c>
      <c r="AC9" s="15">
        <f t="shared" si="12"/>
        <v>9</v>
      </c>
      <c r="AD9" s="15">
        <f t="shared" si="1"/>
        <v>9</v>
      </c>
      <c r="AE9" s="226"/>
    </row>
    <row r="10" spans="1:31" ht="57" customHeight="1" x14ac:dyDescent="0.25">
      <c r="A10" s="188"/>
      <c r="B10" s="200"/>
      <c r="C10" s="195"/>
      <c r="D10" s="182"/>
      <c r="E10" s="195"/>
      <c r="F10" s="182"/>
      <c r="G10" s="36">
        <v>6</v>
      </c>
      <c r="H10" s="60" t="s">
        <v>103</v>
      </c>
      <c r="I10" s="180"/>
      <c r="J10" s="15"/>
      <c r="K10" s="15"/>
      <c r="L10" s="15"/>
      <c r="M10" s="15"/>
      <c r="N10" s="15"/>
      <c r="O10" s="15">
        <v>1</v>
      </c>
      <c r="P10" s="210"/>
      <c r="Q10" s="15">
        <v>0</v>
      </c>
      <c r="R10" s="15">
        <f>8*0.1</f>
        <v>0.8</v>
      </c>
      <c r="S10" s="15">
        <f>8*0.2</f>
        <v>1.6</v>
      </c>
      <c r="T10" s="15">
        <f>8*0.3</f>
        <v>2.4</v>
      </c>
      <c r="U10" s="15">
        <f>8*0.6</f>
        <v>4.8</v>
      </c>
      <c r="V10" s="15">
        <f>8*1</f>
        <v>8</v>
      </c>
      <c r="W10" s="13"/>
      <c r="X10" s="15">
        <f t="shared" si="7"/>
        <v>0</v>
      </c>
      <c r="Y10" s="15">
        <f t="shared" si="8"/>
        <v>0</v>
      </c>
      <c r="Z10" s="15">
        <f t="shared" si="9"/>
        <v>0</v>
      </c>
      <c r="AA10" s="15">
        <f t="shared" si="10"/>
        <v>0</v>
      </c>
      <c r="AB10" s="15">
        <f t="shared" si="11"/>
        <v>0</v>
      </c>
      <c r="AC10" s="15">
        <f t="shared" si="12"/>
        <v>8</v>
      </c>
      <c r="AD10" s="15">
        <f t="shared" si="1"/>
        <v>8</v>
      </c>
      <c r="AE10" s="226"/>
    </row>
    <row r="11" spans="1:31" ht="42" customHeight="1" x14ac:dyDescent="0.25">
      <c r="A11" s="188"/>
      <c r="B11" s="200"/>
      <c r="C11" s="195"/>
      <c r="D11" s="182"/>
      <c r="E11" s="195"/>
      <c r="F11" s="182"/>
      <c r="G11" s="36">
        <v>7</v>
      </c>
      <c r="H11" s="60" t="s">
        <v>104</v>
      </c>
      <c r="I11" s="180"/>
      <c r="J11" s="15"/>
      <c r="K11" s="15"/>
      <c r="L11" s="15"/>
      <c r="M11" s="15"/>
      <c r="N11" s="15"/>
      <c r="O11" s="15">
        <v>1</v>
      </c>
      <c r="P11" s="210"/>
      <c r="Q11" s="15">
        <v>0</v>
      </c>
      <c r="R11" s="15">
        <f t="shared" ref="R11:R20" si="13">8*0.1</f>
        <v>0.8</v>
      </c>
      <c r="S11" s="15">
        <f t="shared" ref="S11:S20" si="14">8*0.2</f>
        <v>1.6</v>
      </c>
      <c r="T11" s="15">
        <f t="shared" ref="T11:T20" si="15">8*0.3</f>
        <v>2.4</v>
      </c>
      <c r="U11" s="15">
        <f t="shared" ref="U11:U20" si="16">8*0.6</f>
        <v>4.8</v>
      </c>
      <c r="V11" s="15">
        <f t="shared" ref="V11:V20" si="17">8*1</f>
        <v>8</v>
      </c>
      <c r="W11" s="13"/>
      <c r="X11" s="15">
        <f t="shared" si="7"/>
        <v>0</v>
      </c>
      <c r="Y11" s="15">
        <f t="shared" si="8"/>
        <v>0</v>
      </c>
      <c r="Z11" s="15">
        <f t="shared" si="9"/>
        <v>0</v>
      </c>
      <c r="AA11" s="15">
        <f t="shared" si="10"/>
        <v>0</v>
      </c>
      <c r="AB11" s="15">
        <f t="shared" si="11"/>
        <v>0</v>
      </c>
      <c r="AC11" s="15">
        <f t="shared" si="12"/>
        <v>8</v>
      </c>
      <c r="AD11" s="15">
        <f t="shared" si="1"/>
        <v>8</v>
      </c>
      <c r="AE11" s="226"/>
    </row>
    <row r="12" spans="1:31" ht="55.5" customHeight="1" x14ac:dyDescent="0.25">
      <c r="A12" s="188"/>
      <c r="B12" s="200"/>
      <c r="C12" s="195"/>
      <c r="D12" s="182"/>
      <c r="E12" s="195"/>
      <c r="F12" s="182"/>
      <c r="G12" s="36">
        <v>8</v>
      </c>
      <c r="H12" s="60" t="s">
        <v>105</v>
      </c>
      <c r="I12" s="180"/>
      <c r="J12" s="15"/>
      <c r="K12" s="15"/>
      <c r="L12" s="15"/>
      <c r="M12" s="15"/>
      <c r="N12" s="15"/>
      <c r="O12" s="15">
        <v>1</v>
      </c>
      <c r="P12" s="210"/>
      <c r="Q12" s="15">
        <v>0</v>
      </c>
      <c r="R12" s="15">
        <f t="shared" si="13"/>
        <v>0.8</v>
      </c>
      <c r="S12" s="15">
        <f t="shared" si="14"/>
        <v>1.6</v>
      </c>
      <c r="T12" s="15">
        <f t="shared" si="15"/>
        <v>2.4</v>
      </c>
      <c r="U12" s="15">
        <f t="shared" si="16"/>
        <v>4.8</v>
      </c>
      <c r="V12" s="15">
        <f t="shared" si="17"/>
        <v>8</v>
      </c>
      <c r="W12" s="13"/>
      <c r="X12" s="15">
        <f t="shared" si="7"/>
        <v>0</v>
      </c>
      <c r="Y12" s="15">
        <f t="shared" si="8"/>
        <v>0</v>
      </c>
      <c r="Z12" s="15">
        <f t="shared" si="9"/>
        <v>0</v>
      </c>
      <c r="AA12" s="15">
        <f t="shared" si="10"/>
        <v>0</v>
      </c>
      <c r="AB12" s="15">
        <f t="shared" si="11"/>
        <v>0</v>
      </c>
      <c r="AC12" s="15">
        <f t="shared" si="12"/>
        <v>8</v>
      </c>
      <c r="AD12" s="15">
        <f t="shared" ref="AD12:AD36" si="18">X12+Y12+Z12+AA12+AB12+AC12</f>
        <v>8</v>
      </c>
      <c r="AE12" s="226"/>
    </row>
    <row r="13" spans="1:31" ht="54.75" customHeight="1" x14ac:dyDescent="0.25">
      <c r="A13" s="188"/>
      <c r="B13" s="200"/>
      <c r="C13" s="195"/>
      <c r="D13" s="182"/>
      <c r="E13" s="195"/>
      <c r="F13" s="182"/>
      <c r="G13" s="36">
        <v>9</v>
      </c>
      <c r="H13" s="60" t="s">
        <v>106</v>
      </c>
      <c r="I13" s="180"/>
      <c r="J13" s="15"/>
      <c r="K13" s="15"/>
      <c r="L13" s="15"/>
      <c r="M13" s="15"/>
      <c r="N13" s="15"/>
      <c r="O13" s="15">
        <v>1</v>
      </c>
      <c r="P13" s="210"/>
      <c r="Q13" s="15">
        <v>0</v>
      </c>
      <c r="R13" s="15">
        <f t="shared" si="13"/>
        <v>0.8</v>
      </c>
      <c r="S13" s="15">
        <f t="shared" si="14"/>
        <v>1.6</v>
      </c>
      <c r="T13" s="15">
        <f t="shared" si="15"/>
        <v>2.4</v>
      </c>
      <c r="U13" s="15">
        <f t="shared" si="16"/>
        <v>4.8</v>
      </c>
      <c r="V13" s="15">
        <f t="shared" si="17"/>
        <v>8</v>
      </c>
      <c r="W13" s="13"/>
      <c r="X13" s="15">
        <f t="shared" si="7"/>
        <v>0</v>
      </c>
      <c r="Y13" s="15">
        <f t="shared" si="8"/>
        <v>0</v>
      </c>
      <c r="Z13" s="15">
        <f t="shared" si="9"/>
        <v>0</v>
      </c>
      <c r="AA13" s="15">
        <f t="shared" si="10"/>
        <v>0</v>
      </c>
      <c r="AB13" s="15">
        <f t="shared" si="11"/>
        <v>0</v>
      </c>
      <c r="AC13" s="15">
        <f t="shared" si="12"/>
        <v>8</v>
      </c>
      <c r="AD13" s="15">
        <f t="shared" si="18"/>
        <v>8</v>
      </c>
      <c r="AE13" s="226"/>
    </row>
    <row r="14" spans="1:31" ht="33.75" customHeight="1" x14ac:dyDescent="0.25">
      <c r="A14" s="188"/>
      <c r="B14" s="200"/>
      <c r="C14" s="195"/>
      <c r="D14" s="182"/>
      <c r="E14" s="195"/>
      <c r="F14" s="182"/>
      <c r="G14" s="36">
        <v>10</v>
      </c>
      <c r="H14" s="60" t="s">
        <v>107</v>
      </c>
      <c r="I14" s="180"/>
      <c r="J14" s="15"/>
      <c r="K14" s="15"/>
      <c r="L14" s="15"/>
      <c r="M14" s="15"/>
      <c r="N14" s="15"/>
      <c r="O14" s="15">
        <v>1</v>
      </c>
      <c r="P14" s="210"/>
      <c r="Q14" s="15">
        <v>0</v>
      </c>
      <c r="R14" s="15">
        <f t="shared" ref="R14" si="19">9*0.1</f>
        <v>0.9</v>
      </c>
      <c r="S14" s="15">
        <f t="shared" ref="S14" si="20">9*0.2</f>
        <v>1.8</v>
      </c>
      <c r="T14" s="15">
        <f t="shared" ref="T14" si="21">9*0.3</f>
        <v>2.6999999999999997</v>
      </c>
      <c r="U14" s="15">
        <f t="shared" ref="U14" si="22">9*0.6</f>
        <v>5.3999999999999995</v>
      </c>
      <c r="V14" s="15">
        <f t="shared" ref="V14" si="23">9*1</f>
        <v>9</v>
      </c>
      <c r="W14" s="13"/>
      <c r="X14" s="15">
        <f t="shared" si="7"/>
        <v>0</v>
      </c>
      <c r="Y14" s="15">
        <f t="shared" si="8"/>
        <v>0</v>
      </c>
      <c r="Z14" s="15">
        <f t="shared" si="9"/>
        <v>0</v>
      </c>
      <c r="AA14" s="15">
        <f t="shared" si="10"/>
        <v>0</v>
      </c>
      <c r="AB14" s="15">
        <f t="shared" si="11"/>
        <v>0</v>
      </c>
      <c r="AC14" s="15">
        <f t="shared" si="12"/>
        <v>9</v>
      </c>
      <c r="AD14" s="15">
        <f t="shared" si="18"/>
        <v>9</v>
      </c>
      <c r="AE14" s="226"/>
    </row>
    <row r="15" spans="1:31" ht="32.25" customHeight="1" x14ac:dyDescent="0.25">
      <c r="A15" s="188"/>
      <c r="B15" s="200"/>
      <c r="C15" s="195"/>
      <c r="D15" s="182"/>
      <c r="E15" s="195"/>
      <c r="F15" s="182"/>
      <c r="G15" s="36">
        <v>11</v>
      </c>
      <c r="H15" s="60" t="s">
        <v>108</v>
      </c>
      <c r="I15" s="180"/>
      <c r="J15" s="15"/>
      <c r="K15" s="15"/>
      <c r="L15" s="15"/>
      <c r="M15" s="15"/>
      <c r="N15" s="15"/>
      <c r="O15" s="15">
        <v>1</v>
      </c>
      <c r="P15" s="210"/>
      <c r="Q15" s="15">
        <v>0</v>
      </c>
      <c r="R15" s="15">
        <f t="shared" si="13"/>
        <v>0.8</v>
      </c>
      <c r="S15" s="15">
        <f t="shared" si="14"/>
        <v>1.6</v>
      </c>
      <c r="T15" s="15">
        <f t="shared" si="15"/>
        <v>2.4</v>
      </c>
      <c r="U15" s="15">
        <f t="shared" si="16"/>
        <v>4.8</v>
      </c>
      <c r="V15" s="15">
        <f t="shared" si="17"/>
        <v>8</v>
      </c>
      <c r="W15" s="13"/>
      <c r="X15" s="15">
        <f t="shared" si="7"/>
        <v>0</v>
      </c>
      <c r="Y15" s="15">
        <f t="shared" si="8"/>
        <v>0</v>
      </c>
      <c r="Z15" s="15">
        <f t="shared" si="9"/>
        <v>0</v>
      </c>
      <c r="AA15" s="15">
        <f t="shared" si="10"/>
        <v>0</v>
      </c>
      <c r="AB15" s="15">
        <f t="shared" si="11"/>
        <v>0</v>
      </c>
      <c r="AC15" s="15">
        <f t="shared" si="12"/>
        <v>8</v>
      </c>
      <c r="AD15" s="15">
        <f t="shared" si="18"/>
        <v>8</v>
      </c>
      <c r="AE15" s="226"/>
    </row>
    <row r="16" spans="1:31" ht="46.5" customHeight="1" x14ac:dyDescent="0.25">
      <c r="A16" s="188"/>
      <c r="B16" s="200"/>
      <c r="C16" s="195"/>
      <c r="D16" s="182"/>
      <c r="E16" s="195"/>
      <c r="F16" s="182"/>
      <c r="G16" s="36">
        <v>12</v>
      </c>
      <c r="H16" s="60" t="s">
        <v>109</v>
      </c>
      <c r="I16" s="180"/>
      <c r="J16" s="15"/>
      <c r="K16" s="15"/>
      <c r="L16" s="15"/>
      <c r="M16" s="15"/>
      <c r="N16" s="15"/>
      <c r="O16" s="15">
        <v>1</v>
      </c>
      <c r="P16" s="210"/>
      <c r="Q16" s="15">
        <v>0</v>
      </c>
      <c r="R16" s="15">
        <f t="shared" si="13"/>
        <v>0.8</v>
      </c>
      <c r="S16" s="15">
        <f t="shared" si="14"/>
        <v>1.6</v>
      </c>
      <c r="T16" s="15">
        <f t="shared" si="15"/>
        <v>2.4</v>
      </c>
      <c r="U16" s="15">
        <f t="shared" si="16"/>
        <v>4.8</v>
      </c>
      <c r="V16" s="15">
        <f t="shared" si="17"/>
        <v>8</v>
      </c>
      <c r="W16" s="13"/>
      <c r="X16" s="15">
        <f t="shared" si="7"/>
        <v>0</v>
      </c>
      <c r="Y16" s="15">
        <f t="shared" si="8"/>
        <v>0</v>
      </c>
      <c r="Z16" s="15">
        <f t="shared" si="9"/>
        <v>0</v>
      </c>
      <c r="AA16" s="15">
        <f t="shared" si="10"/>
        <v>0</v>
      </c>
      <c r="AB16" s="15">
        <f t="shared" si="11"/>
        <v>0</v>
      </c>
      <c r="AC16" s="15">
        <f t="shared" si="12"/>
        <v>8</v>
      </c>
      <c r="AD16" s="15">
        <f t="shared" si="18"/>
        <v>8</v>
      </c>
      <c r="AE16" s="226"/>
    </row>
    <row r="17" spans="1:31" ht="34.5" customHeight="1" x14ac:dyDescent="0.25">
      <c r="A17" s="188"/>
      <c r="B17" s="200"/>
      <c r="C17" s="195"/>
      <c r="D17" s="182"/>
      <c r="E17" s="195"/>
      <c r="F17" s="182"/>
      <c r="G17" s="36">
        <v>13</v>
      </c>
      <c r="H17" s="60" t="s">
        <v>110</v>
      </c>
      <c r="I17" s="180"/>
      <c r="J17" s="15"/>
      <c r="K17" s="15"/>
      <c r="L17" s="15"/>
      <c r="M17" s="15"/>
      <c r="N17" s="15"/>
      <c r="O17" s="15">
        <v>1</v>
      </c>
      <c r="P17" s="210"/>
      <c r="Q17" s="15">
        <v>0</v>
      </c>
      <c r="R17" s="15">
        <f t="shared" si="13"/>
        <v>0.8</v>
      </c>
      <c r="S17" s="15">
        <f t="shared" si="14"/>
        <v>1.6</v>
      </c>
      <c r="T17" s="15">
        <f t="shared" si="15"/>
        <v>2.4</v>
      </c>
      <c r="U17" s="15">
        <f t="shared" si="16"/>
        <v>4.8</v>
      </c>
      <c r="V17" s="15">
        <f t="shared" si="17"/>
        <v>8</v>
      </c>
      <c r="W17" s="13"/>
      <c r="X17" s="15">
        <f t="shared" si="7"/>
        <v>0</v>
      </c>
      <c r="Y17" s="15">
        <f t="shared" si="8"/>
        <v>0</v>
      </c>
      <c r="Z17" s="15">
        <f t="shared" si="9"/>
        <v>0</v>
      </c>
      <c r="AA17" s="15">
        <f t="shared" si="10"/>
        <v>0</v>
      </c>
      <c r="AB17" s="15">
        <f t="shared" si="11"/>
        <v>0</v>
      </c>
      <c r="AC17" s="15">
        <f t="shared" si="12"/>
        <v>8</v>
      </c>
      <c r="AD17" s="15">
        <f t="shared" si="18"/>
        <v>8</v>
      </c>
      <c r="AE17" s="226"/>
    </row>
    <row r="18" spans="1:31" ht="41.25" customHeight="1" x14ac:dyDescent="0.25">
      <c r="A18" s="188"/>
      <c r="B18" s="200"/>
      <c r="C18" s="195"/>
      <c r="D18" s="182"/>
      <c r="E18" s="196"/>
      <c r="F18" s="183"/>
      <c r="G18" s="36">
        <v>14</v>
      </c>
      <c r="H18" s="60" t="s">
        <v>111</v>
      </c>
      <c r="I18" s="180"/>
      <c r="J18" s="15"/>
      <c r="K18" s="15"/>
      <c r="L18" s="15"/>
      <c r="M18" s="15"/>
      <c r="N18" s="15"/>
      <c r="O18" s="15">
        <v>1</v>
      </c>
      <c r="P18" s="210"/>
      <c r="Q18" s="15">
        <v>0</v>
      </c>
      <c r="R18" s="15">
        <f t="shared" si="13"/>
        <v>0.8</v>
      </c>
      <c r="S18" s="15">
        <f t="shared" si="14"/>
        <v>1.6</v>
      </c>
      <c r="T18" s="15">
        <f t="shared" si="15"/>
        <v>2.4</v>
      </c>
      <c r="U18" s="15">
        <f t="shared" si="16"/>
        <v>4.8</v>
      </c>
      <c r="V18" s="15">
        <f t="shared" si="17"/>
        <v>8</v>
      </c>
      <c r="W18" s="13"/>
      <c r="X18" s="15">
        <f t="shared" si="7"/>
        <v>0</v>
      </c>
      <c r="Y18" s="15">
        <f t="shared" si="8"/>
        <v>0</v>
      </c>
      <c r="Z18" s="15">
        <f t="shared" si="9"/>
        <v>0</v>
      </c>
      <c r="AA18" s="15">
        <f t="shared" si="10"/>
        <v>0</v>
      </c>
      <c r="AB18" s="15">
        <f t="shared" si="11"/>
        <v>0</v>
      </c>
      <c r="AC18" s="15">
        <f t="shared" si="12"/>
        <v>8</v>
      </c>
      <c r="AD18" s="15">
        <f t="shared" si="18"/>
        <v>8</v>
      </c>
      <c r="AE18" s="226"/>
    </row>
    <row r="19" spans="1:31" ht="49.5" customHeight="1" x14ac:dyDescent="0.25">
      <c r="A19" s="188"/>
      <c r="B19" s="200"/>
      <c r="C19" s="195"/>
      <c r="D19" s="182"/>
      <c r="E19" s="194"/>
      <c r="F19" s="181" t="s">
        <v>336</v>
      </c>
      <c r="G19" s="36">
        <v>15</v>
      </c>
      <c r="H19" s="60" t="s">
        <v>359</v>
      </c>
      <c r="I19" s="180"/>
      <c r="J19" s="15"/>
      <c r="K19" s="15"/>
      <c r="L19" s="15"/>
      <c r="M19" s="15"/>
      <c r="N19" s="15"/>
      <c r="O19" s="15">
        <v>1</v>
      </c>
      <c r="P19" s="210"/>
      <c r="Q19" s="15">
        <v>0</v>
      </c>
      <c r="R19" s="15">
        <f t="shared" si="13"/>
        <v>0.8</v>
      </c>
      <c r="S19" s="15">
        <f t="shared" si="14"/>
        <v>1.6</v>
      </c>
      <c r="T19" s="15">
        <f t="shared" si="15"/>
        <v>2.4</v>
      </c>
      <c r="U19" s="15">
        <f t="shared" si="16"/>
        <v>4.8</v>
      </c>
      <c r="V19" s="15">
        <f t="shared" si="17"/>
        <v>8</v>
      </c>
      <c r="W19" s="13"/>
      <c r="X19" s="15">
        <f t="shared" si="7"/>
        <v>0</v>
      </c>
      <c r="Y19" s="15">
        <f t="shared" si="8"/>
        <v>0</v>
      </c>
      <c r="Z19" s="15">
        <f t="shared" si="9"/>
        <v>0</v>
      </c>
      <c r="AA19" s="15">
        <f t="shared" si="10"/>
        <v>0</v>
      </c>
      <c r="AB19" s="15">
        <f t="shared" si="11"/>
        <v>0</v>
      </c>
      <c r="AC19" s="15">
        <f t="shared" si="12"/>
        <v>8</v>
      </c>
      <c r="AD19" s="15">
        <f t="shared" si="18"/>
        <v>8</v>
      </c>
      <c r="AE19" s="226"/>
    </row>
    <row r="20" spans="1:31" ht="102" customHeight="1" x14ac:dyDescent="0.25">
      <c r="A20" s="188"/>
      <c r="B20" s="200"/>
      <c r="C20" s="195"/>
      <c r="D20" s="182"/>
      <c r="E20" s="195"/>
      <c r="F20" s="182"/>
      <c r="G20" s="36">
        <v>16</v>
      </c>
      <c r="H20" s="60" t="s">
        <v>112</v>
      </c>
      <c r="I20" s="180"/>
      <c r="J20" s="15"/>
      <c r="K20" s="15"/>
      <c r="L20" s="15"/>
      <c r="M20" s="15"/>
      <c r="N20" s="15"/>
      <c r="O20" s="15">
        <v>1</v>
      </c>
      <c r="P20" s="210"/>
      <c r="Q20" s="15">
        <v>0</v>
      </c>
      <c r="R20" s="15">
        <f t="shared" si="13"/>
        <v>0.8</v>
      </c>
      <c r="S20" s="15">
        <f t="shared" si="14"/>
        <v>1.6</v>
      </c>
      <c r="T20" s="15">
        <f t="shared" si="15"/>
        <v>2.4</v>
      </c>
      <c r="U20" s="15">
        <f t="shared" si="16"/>
        <v>4.8</v>
      </c>
      <c r="V20" s="15">
        <f t="shared" si="17"/>
        <v>8</v>
      </c>
      <c r="W20" s="13"/>
      <c r="X20" s="15">
        <f t="shared" si="7"/>
        <v>0</v>
      </c>
      <c r="Y20" s="15">
        <f t="shared" si="8"/>
        <v>0</v>
      </c>
      <c r="Z20" s="15">
        <f t="shared" si="9"/>
        <v>0</v>
      </c>
      <c r="AA20" s="15">
        <f t="shared" si="10"/>
        <v>0</v>
      </c>
      <c r="AB20" s="15">
        <f t="shared" si="11"/>
        <v>0</v>
      </c>
      <c r="AC20" s="15">
        <f t="shared" si="12"/>
        <v>8</v>
      </c>
      <c r="AD20" s="15">
        <f t="shared" si="18"/>
        <v>8</v>
      </c>
      <c r="AE20" s="226"/>
    </row>
    <row r="21" spans="1:31" ht="104.25" customHeight="1" x14ac:dyDescent="0.25">
      <c r="A21" s="188"/>
      <c r="B21" s="200"/>
      <c r="C21" s="195"/>
      <c r="D21" s="182"/>
      <c r="E21" s="196"/>
      <c r="F21" s="183"/>
      <c r="G21" s="36">
        <v>17</v>
      </c>
      <c r="H21" s="60" t="s">
        <v>360</v>
      </c>
      <c r="I21" s="180"/>
      <c r="J21" s="15"/>
      <c r="K21" s="15"/>
      <c r="L21" s="15"/>
      <c r="M21" s="15"/>
      <c r="N21" s="15"/>
      <c r="O21" s="15">
        <v>1</v>
      </c>
      <c r="P21" s="210"/>
      <c r="Q21" s="15">
        <v>0</v>
      </c>
      <c r="R21" s="15">
        <f t="shared" ref="R21" si="24">9*0.1</f>
        <v>0.9</v>
      </c>
      <c r="S21" s="15">
        <f t="shared" ref="S21" si="25">9*0.2</f>
        <v>1.8</v>
      </c>
      <c r="T21" s="15">
        <f t="shared" ref="T21" si="26">9*0.3</f>
        <v>2.6999999999999997</v>
      </c>
      <c r="U21" s="15">
        <f t="shared" ref="U21" si="27">9*0.6</f>
        <v>5.3999999999999995</v>
      </c>
      <c r="V21" s="15">
        <f t="shared" ref="V21" si="28">9*1</f>
        <v>9</v>
      </c>
      <c r="W21" s="13"/>
      <c r="X21" s="15">
        <f t="shared" si="7"/>
        <v>0</v>
      </c>
      <c r="Y21" s="15">
        <f t="shared" si="8"/>
        <v>0</v>
      </c>
      <c r="Z21" s="15">
        <f t="shared" si="9"/>
        <v>0</v>
      </c>
      <c r="AA21" s="15">
        <f t="shared" si="10"/>
        <v>0</v>
      </c>
      <c r="AB21" s="15">
        <f t="shared" si="11"/>
        <v>0</v>
      </c>
      <c r="AC21" s="15">
        <f t="shared" si="12"/>
        <v>9</v>
      </c>
      <c r="AD21" s="15">
        <f t="shared" si="18"/>
        <v>9</v>
      </c>
      <c r="AE21" s="226"/>
    </row>
    <row r="22" spans="1:31" ht="65.25" customHeight="1" x14ac:dyDescent="0.25">
      <c r="A22" s="188"/>
      <c r="B22" s="200"/>
      <c r="C22" s="195"/>
      <c r="D22" s="182"/>
      <c r="E22" s="194"/>
      <c r="F22" s="205" t="s">
        <v>113</v>
      </c>
      <c r="G22" s="36">
        <v>18</v>
      </c>
      <c r="H22" s="60" t="s">
        <v>337</v>
      </c>
      <c r="I22" s="180"/>
      <c r="J22" s="15"/>
      <c r="K22" s="15"/>
      <c r="L22" s="15"/>
      <c r="M22" s="15"/>
      <c r="N22" s="15"/>
      <c r="O22" s="15">
        <v>1</v>
      </c>
      <c r="P22" s="210"/>
      <c r="Q22" s="15">
        <v>0</v>
      </c>
      <c r="R22" s="15">
        <f>23*0.1</f>
        <v>2.3000000000000003</v>
      </c>
      <c r="S22" s="15">
        <f>23*0.2</f>
        <v>4.6000000000000005</v>
      </c>
      <c r="T22" s="15">
        <f>23*0.3</f>
        <v>6.8999999999999995</v>
      </c>
      <c r="U22" s="15">
        <f>23*0.6</f>
        <v>13.799999999999999</v>
      </c>
      <c r="V22" s="15">
        <f>23*1</f>
        <v>23</v>
      </c>
      <c r="W22" s="13"/>
      <c r="X22" s="15">
        <f t="shared" si="7"/>
        <v>0</v>
      </c>
      <c r="Y22" s="15">
        <f t="shared" si="8"/>
        <v>0</v>
      </c>
      <c r="Z22" s="15">
        <f t="shared" si="9"/>
        <v>0</v>
      </c>
      <c r="AA22" s="15">
        <f t="shared" si="10"/>
        <v>0</v>
      </c>
      <c r="AB22" s="15">
        <f t="shared" si="11"/>
        <v>0</v>
      </c>
      <c r="AC22" s="15">
        <f t="shared" si="12"/>
        <v>23</v>
      </c>
      <c r="AD22" s="15">
        <f t="shared" si="18"/>
        <v>23</v>
      </c>
      <c r="AE22" s="226"/>
    </row>
    <row r="23" spans="1:31" ht="104.25" customHeight="1" x14ac:dyDescent="0.25">
      <c r="A23" s="188"/>
      <c r="B23" s="200"/>
      <c r="C23" s="196"/>
      <c r="D23" s="183"/>
      <c r="E23" s="196"/>
      <c r="F23" s="206"/>
      <c r="G23" s="36">
        <v>19</v>
      </c>
      <c r="H23" s="60" t="s">
        <v>338</v>
      </c>
      <c r="I23" s="180"/>
      <c r="J23" s="15"/>
      <c r="K23" s="15"/>
      <c r="L23" s="15"/>
      <c r="M23" s="15"/>
      <c r="N23" s="15"/>
      <c r="O23" s="15">
        <v>1</v>
      </c>
      <c r="P23" s="31"/>
      <c r="Q23" s="15">
        <v>0</v>
      </c>
      <c r="R23" s="15">
        <f t="shared" ref="R23" si="29">8*0.1</f>
        <v>0.8</v>
      </c>
      <c r="S23" s="15">
        <f t="shared" ref="S23" si="30">8*0.2</f>
        <v>1.6</v>
      </c>
      <c r="T23" s="15">
        <f t="shared" ref="T23" si="31">8*0.3</f>
        <v>2.4</v>
      </c>
      <c r="U23" s="15">
        <f t="shared" ref="U23" si="32">8*0.6</f>
        <v>4.8</v>
      </c>
      <c r="V23" s="15">
        <f t="shared" ref="V23" si="33">8*1</f>
        <v>8</v>
      </c>
      <c r="W23" s="13"/>
      <c r="X23" s="15">
        <f t="shared" si="7"/>
        <v>0</v>
      </c>
      <c r="Y23" s="15">
        <f t="shared" si="8"/>
        <v>0</v>
      </c>
      <c r="Z23" s="15">
        <f t="shared" si="9"/>
        <v>0</v>
      </c>
      <c r="AA23" s="15">
        <f t="shared" si="10"/>
        <v>0</v>
      </c>
      <c r="AB23" s="15">
        <f t="shared" si="11"/>
        <v>0</v>
      </c>
      <c r="AC23" s="15">
        <f t="shared" si="12"/>
        <v>8</v>
      </c>
      <c r="AD23" s="15">
        <f t="shared" si="18"/>
        <v>8</v>
      </c>
      <c r="AE23" s="226"/>
    </row>
    <row r="24" spans="1:31" ht="63.75" customHeight="1" x14ac:dyDescent="0.25">
      <c r="A24" s="188"/>
      <c r="B24" s="200"/>
      <c r="C24" s="194"/>
      <c r="D24" s="181" t="s">
        <v>4</v>
      </c>
      <c r="E24" s="194"/>
      <c r="F24" s="181" t="s">
        <v>114</v>
      </c>
      <c r="G24" s="36">
        <v>20</v>
      </c>
      <c r="H24" s="60" t="s">
        <v>361</v>
      </c>
      <c r="I24" s="180" t="s">
        <v>295</v>
      </c>
      <c r="J24" s="15"/>
      <c r="K24" s="15"/>
      <c r="L24" s="15"/>
      <c r="M24" s="15"/>
      <c r="N24" s="15"/>
      <c r="O24" s="15">
        <v>1</v>
      </c>
      <c r="P24" s="210"/>
      <c r="Q24" s="15">
        <v>0</v>
      </c>
      <c r="R24" s="15">
        <f t="shared" ref="R24:R42" si="34">9*0.1</f>
        <v>0.9</v>
      </c>
      <c r="S24" s="15">
        <f t="shared" ref="S24:S42" si="35">9*0.2</f>
        <v>1.8</v>
      </c>
      <c r="T24" s="15">
        <f t="shared" ref="T24:T42" si="36">9*0.3</f>
        <v>2.6999999999999997</v>
      </c>
      <c r="U24" s="15">
        <f t="shared" ref="U24:U42" si="37">9*0.6</f>
        <v>5.3999999999999995</v>
      </c>
      <c r="V24" s="15">
        <f t="shared" ref="V24:V42" si="38">9*1</f>
        <v>9</v>
      </c>
      <c r="W24" s="13"/>
      <c r="X24" s="15">
        <f t="shared" si="7"/>
        <v>0</v>
      </c>
      <c r="Y24" s="15">
        <f t="shared" si="8"/>
        <v>0</v>
      </c>
      <c r="Z24" s="15">
        <f t="shared" si="9"/>
        <v>0</v>
      </c>
      <c r="AA24" s="15">
        <f t="shared" si="10"/>
        <v>0</v>
      </c>
      <c r="AB24" s="15">
        <f t="shared" si="11"/>
        <v>0</v>
      </c>
      <c r="AC24" s="15">
        <f t="shared" si="12"/>
        <v>9</v>
      </c>
      <c r="AD24" s="15">
        <f t="shared" si="18"/>
        <v>9</v>
      </c>
      <c r="AE24" s="226"/>
    </row>
    <row r="25" spans="1:31" ht="66.75" customHeight="1" x14ac:dyDescent="0.25">
      <c r="A25" s="188"/>
      <c r="B25" s="200"/>
      <c r="C25" s="195"/>
      <c r="D25" s="182"/>
      <c r="E25" s="196"/>
      <c r="F25" s="183"/>
      <c r="G25" s="36">
        <v>21</v>
      </c>
      <c r="H25" s="60" t="s">
        <v>115</v>
      </c>
      <c r="I25" s="180"/>
      <c r="J25" s="15"/>
      <c r="K25" s="15"/>
      <c r="L25" s="15"/>
      <c r="M25" s="15"/>
      <c r="N25" s="15"/>
      <c r="O25" s="15">
        <v>1</v>
      </c>
      <c r="P25" s="210"/>
      <c r="Q25" s="15">
        <v>0</v>
      </c>
      <c r="R25" s="15">
        <f t="shared" si="34"/>
        <v>0.9</v>
      </c>
      <c r="S25" s="15">
        <f t="shared" si="35"/>
        <v>1.8</v>
      </c>
      <c r="T25" s="15">
        <f t="shared" si="36"/>
        <v>2.6999999999999997</v>
      </c>
      <c r="U25" s="15">
        <f t="shared" si="37"/>
        <v>5.3999999999999995</v>
      </c>
      <c r="V25" s="15">
        <f t="shared" si="38"/>
        <v>9</v>
      </c>
      <c r="W25" s="13"/>
      <c r="X25" s="15">
        <f t="shared" si="7"/>
        <v>0</v>
      </c>
      <c r="Y25" s="15">
        <f t="shared" si="8"/>
        <v>0</v>
      </c>
      <c r="Z25" s="15">
        <f t="shared" si="9"/>
        <v>0</v>
      </c>
      <c r="AA25" s="15">
        <f t="shared" si="10"/>
        <v>0</v>
      </c>
      <c r="AB25" s="15">
        <f t="shared" si="11"/>
        <v>0</v>
      </c>
      <c r="AC25" s="15">
        <f t="shared" si="12"/>
        <v>9</v>
      </c>
      <c r="AD25" s="15">
        <f t="shared" si="18"/>
        <v>9</v>
      </c>
      <c r="AE25" s="226"/>
    </row>
    <row r="26" spans="1:31" ht="72.75" customHeight="1" x14ac:dyDescent="0.25">
      <c r="A26" s="188"/>
      <c r="B26" s="200"/>
      <c r="C26" s="195"/>
      <c r="D26" s="182"/>
      <c r="E26" s="194"/>
      <c r="F26" s="181" t="s">
        <v>116</v>
      </c>
      <c r="G26" s="36">
        <v>22</v>
      </c>
      <c r="H26" s="60" t="s">
        <v>117</v>
      </c>
      <c r="I26" s="180"/>
      <c r="J26" s="15"/>
      <c r="K26" s="15"/>
      <c r="L26" s="15"/>
      <c r="M26" s="15"/>
      <c r="N26" s="15"/>
      <c r="O26" s="15">
        <v>1</v>
      </c>
      <c r="P26" s="32"/>
      <c r="Q26" s="15">
        <v>0</v>
      </c>
      <c r="R26" s="15">
        <f t="shared" si="34"/>
        <v>0.9</v>
      </c>
      <c r="S26" s="15">
        <f t="shared" si="35"/>
        <v>1.8</v>
      </c>
      <c r="T26" s="15">
        <f t="shared" si="36"/>
        <v>2.6999999999999997</v>
      </c>
      <c r="U26" s="15">
        <f t="shared" si="37"/>
        <v>5.3999999999999995</v>
      </c>
      <c r="V26" s="15">
        <f t="shared" si="38"/>
        <v>9</v>
      </c>
      <c r="W26" s="13"/>
      <c r="X26" s="15">
        <f t="shared" si="7"/>
        <v>0</v>
      </c>
      <c r="Y26" s="15">
        <f t="shared" si="8"/>
        <v>0</v>
      </c>
      <c r="Z26" s="15">
        <f t="shared" si="9"/>
        <v>0</v>
      </c>
      <c r="AA26" s="15">
        <f t="shared" si="10"/>
        <v>0</v>
      </c>
      <c r="AB26" s="15">
        <f t="shared" si="11"/>
        <v>0</v>
      </c>
      <c r="AC26" s="15">
        <f t="shared" si="12"/>
        <v>9</v>
      </c>
      <c r="AD26" s="15">
        <f t="shared" si="18"/>
        <v>9</v>
      </c>
      <c r="AE26" s="226"/>
    </row>
    <row r="27" spans="1:31" ht="72" customHeight="1" x14ac:dyDescent="0.25">
      <c r="A27" s="188"/>
      <c r="B27" s="200"/>
      <c r="C27" s="195"/>
      <c r="D27" s="182"/>
      <c r="E27" s="195"/>
      <c r="F27" s="182"/>
      <c r="G27" s="36">
        <v>23</v>
      </c>
      <c r="H27" s="60" t="s">
        <v>118</v>
      </c>
      <c r="I27" s="180"/>
      <c r="J27" s="15"/>
      <c r="K27" s="15"/>
      <c r="L27" s="15"/>
      <c r="M27" s="15"/>
      <c r="N27" s="15"/>
      <c r="O27" s="15">
        <v>1</v>
      </c>
      <c r="P27" s="210"/>
      <c r="Q27" s="15">
        <v>0</v>
      </c>
      <c r="R27" s="15">
        <f t="shared" si="34"/>
        <v>0.9</v>
      </c>
      <c r="S27" s="15">
        <f t="shared" si="35"/>
        <v>1.8</v>
      </c>
      <c r="T27" s="15">
        <f t="shared" si="36"/>
        <v>2.6999999999999997</v>
      </c>
      <c r="U27" s="15">
        <f t="shared" si="37"/>
        <v>5.3999999999999995</v>
      </c>
      <c r="V27" s="15">
        <f t="shared" si="38"/>
        <v>9</v>
      </c>
      <c r="W27" s="13"/>
      <c r="X27" s="15">
        <f t="shared" si="7"/>
        <v>0</v>
      </c>
      <c r="Y27" s="15">
        <f t="shared" si="8"/>
        <v>0</v>
      </c>
      <c r="Z27" s="15">
        <f t="shared" si="9"/>
        <v>0</v>
      </c>
      <c r="AA27" s="15">
        <f t="shared" si="10"/>
        <v>0</v>
      </c>
      <c r="AB27" s="15">
        <f t="shared" si="11"/>
        <v>0</v>
      </c>
      <c r="AC27" s="15">
        <f t="shared" si="12"/>
        <v>9</v>
      </c>
      <c r="AD27" s="15">
        <f t="shared" si="18"/>
        <v>9</v>
      </c>
      <c r="AE27" s="226"/>
    </row>
    <row r="28" spans="1:31" ht="67.5" customHeight="1" x14ac:dyDescent="0.25">
      <c r="A28" s="188"/>
      <c r="B28" s="200"/>
      <c r="C28" s="195"/>
      <c r="D28" s="182"/>
      <c r="E28" s="195"/>
      <c r="F28" s="182"/>
      <c r="G28" s="36">
        <v>24</v>
      </c>
      <c r="H28" s="60" t="s">
        <v>119</v>
      </c>
      <c r="I28" s="180"/>
      <c r="J28" s="15"/>
      <c r="K28" s="15"/>
      <c r="L28" s="15"/>
      <c r="M28" s="15"/>
      <c r="N28" s="15"/>
      <c r="O28" s="15">
        <v>1</v>
      </c>
      <c r="P28" s="210"/>
      <c r="Q28" s="15">
        <v>0</v>
      </c>
      <c r="R28" s="15">
        <f t="shared" si="34"/>
        <v>0.9</v>
      </c>
      <c r="S28" s="15">
        <f t="shared" si="35"/>
        <v>1.8</v>
      </c>
      <c r="T28" s="15">
        <f t="shared" si="36"/>
        <v>2.6999999999999997</v>
      </c>
      <c r="U28" s="15">
        <f t="shared" si="37"/>
        <v>5.3999999999999995</v>
      </c>
      <c r="V28" s="15">
        <f t="shared" si="38"/>
        <v>9</v>
      </c>
      <c r="W28" s="13"/>
      <c r="X28" s="15">
        <f>J28*Q28</f>
        <v>0</v>
      </c>
      <c r="Y28" s="15">
        <f>K28*R28</f>
        <v>0</v>
      </c>
      <c r="Z28" s="15">
        <f>L28*S28</f>
        <v>0</v>
      </c>
      <c r="AA28" s="15">
        <f>M28*T28</f>
        <v>0</v>
      </c>
      <c r="AB28" s="15">
        <f t="shared" ref="Y28:AC29" si="39">N28*U28</f>
        <v>0</v>
      </c>
      <c r="AC28" s="15">
        <f t="shared" si="39"/>
        <v>9</v>
      </c>
      <c r="AD28" s="15">
        <f t="shared" si="18"/>
        <v>9</v>
      </c>
      <c r="AE28" s="226"/>
    </row>
    <row r="29" spans="1:31" ht="67.5" customHeight="1" x14ac:dyDescent="0.25">
      <c r="A29" s="188"/>
      <c r="B29" s="200"/>
      <c r="C29" s="195"/>
      <c r="D29" s="182"/>
      <c r="E29" s="196"/>
      <c r="F29" s="183"/>
      <c r="G29" s="36">
        <v>25</v>
      </c>
      <c r="H29" s="60" t="s">
        <v>120</v>
      </c>
      <c r="I29" s="180"/>
      <c r="J29" s="15"/>
      <c r="K29" s="15"/>
      <c r="L29" s="15"/>
      <c r="M29" s="15"/>
      <c r="N29" s="15"/>
      <c r="O29" s="15">
        <v>1</v>
      </c>
      <c r="P29" s="210"/>
      <c r="Q29" s="15">
        <v>0</v>
      </c>
      <c r="R29" s="15">
        <f t="shared" si="34"/>
        <v>0.9</v>
      </c>
      <c r="S29" s="15">
        <f t="shared" si="35"/>
        <v>1.8</v>
      </c>
      <c r="T29" s="15">
        <f t="shared" si="36"/>
        <v>2.6999999999999997</v>
      </c>
      <c r="U29" s="15">
        <f t="shared" si="37"/>
        <v>5.3999999999999995</v>
      </c>
      <c r="V29" s="15">
        <f t="shared" si="38"/>
        <v>9</v>
      </c>
      <c r="W29" s="13"/>
      <c r="X29" s="15">
        <f>J29*Q29</f>
        <v>0</v>
      </c>
      <c r="Y29" s="15">
        <f t="shared" si="39"/>
        <v>0</v>
      </c>
      <c r="Z29" s="15">
        <f t="shared" si="39"/>
        <v>0</v>
      </c>
      <c r="AA29" s="15">
        <f t="shared" si="39"/>
        <v>0</v>
      </c>
      <c r="AB29" s="15">
        <f t="shared" ref="AB29:AB60" si="40">N29*U29</f>
        <v>0</v>
      </c>
      <c r="AC29" s="15">
        <f t="shared" si="39"/>
        <v>9</v>
      </c>
      <c r="AD29" s="15">
        <f t="shared" si="18"/>
        <v>9</v>
      </c>
      <c r="AE29" s="226"/>
    </row>
    <row r="30" spans="1:31" ht="55.5" customHeight="1" x14ac:dyDescent="0.25">
      <c r="A30" s="188"/>
      <c r="B30" s="200"/>
      <c r="C30" s="195"/>
      <c r="D30" s="182"/>
      <c r="E30" s="194"/>
      <c r="F30" s="181" t="s">
        <v>340</v>
      </c>
      <c r="G30" s="36">
        <v>26</v>
      </c>
      <c r="H30" s="60" t="s">
        <v>121</v>
      </c>
      <c r="I30" s="180"/>
      <c r="J30" s="15"/>
      <c r="K30" s="15"/>
      <c r="L30" s="15"/>
      <c r="M30" s="15"/>
      <c r="N30" s="15"/>
      <c r="O30" s="15">
        <v>1</v>
      </c>
      <c r="P30" s="210"/>
      <c r="Q30" s="15">
        <v>0</v>
      </c>
      <c r="R30" s="15">
        <f t="shared" si="34"/>
        <v>0.9</v>
      </c>
      <c r="S30" s="15">
        <f t="shared" si="35"/>
        <v>1.8</v>
      </c>
      <c r="T30" s="15">
        <f t="shared" si="36"/>
        <v>2.6999999999999997</v>
      </c>
      <c r="U30" s="15">
        <f t="shared" si="37"/>
        <v>5.3999999999999995</v>
      </c>
      <c r="V30" s="15">
        <f t="shared" si="38"/>
        <v>9</v>
      </c>
      <c r="W30" s="13"/>
      <c r="X30" s="15">
        <f t="shared" ref="X30:X61" si="41">J30*Q30</f>
        <v>0</v>
      </c>
      <c r="Y30" s="15">
        <f t="shared" ref="Y30:Y61" si="42">K30*R30</f>
        <v>0</v>
      </c>
      <c r="Z30" s="15">
        <f t="shared" ref="Z30:Z61" si="43">L30*S30</f>
        <v>0</v>
      </c>
      <c r="AA30" s="15">
        <f t="shared" ref="AA30:AA61" si="44">M30*T30</f>
        <v>0</v>
      </c>
      <c r="AB30" s="15">
        <f t="shared" si="40"/>
        <v>0</v>
      </c>
      <c r="AC30" s="15">
        <f t="shared" ref="AC30:AC61" si="45">O30*V30</f>
        <v>9</v>
      </c>
      <c r="AD30" s="15">
        <f t="shared" si="18"/>
        <v>9</v>
      </c>
      <c r="AE30" s="226"/>
    </row>
    <row r="31" spans="1:31" ht="117.75" customHeight="1" x14ac:dyDescent="0.25">
      <c r="A31" s="188"/>
      <c r="B31" s="200"/>
      <c r="C31" s="195"/>
      <c r="D31" s="182"/>
      <c r="E31" s="195"/>
      <c r="F31" s="182"/>
      <c r="G31" s="36">
        <v>27</v>
      </c>
      <c r="H31" s="60" t="s">
        <v>358</v>
      </c>
      <c r="I31" s="180"/>
      <c r="J31" s="15"/>
      <c r="K31" s="15"/>
      <c r="L31" s="15"/>
      <c r="M31" s="15"/>
      <c r="N31" s="15"/>
      <c r="O31" s="15">
        <v>1</v>
      </c>
      <c r="P31" s="210"/>
      <c r="Q31" s="15">
        <v>0</v>
      </c>
      <c r="R31" s="15">
        <f t="shared" si="34"/>
        <v>0.9</v>
      </c>
      <c r="S31" s="15">
        <f t="shared" si="35"/>
        <v>1.8</v>
      </c>
      <c r="T31" s="15">
        <f t="shared" si="36"/>
        <v>2.6999999999999997</v>
      </c>
      <c r="U31" s="15">
        <f t="shared" si="37"/>
        <v>5.3999999999999995</v>
      </c>
      <c r="V31" s="15">
        <f t="shared" si="38"/>
        <v>9</v>
      </c>
      <c r="W31" s="13"/>
      <c r="X31" s="15">
        <f t="shared" si="41"/>
        <v>0</v>
      </c>
      <c r="Y31" s="15">
        <f t="shared" si="42"/>
        <v>0</v>
      </c>
      <c r="Z31" s="15">
        <f t="shared" si="43"/>
        <v>0</v>
      </c>
      <c r="AA31" s="15">
        <f t="shared" si="44"/>
        <v>0</v>
      </c>
      <c r="AB31" s="15">
        <f t="shared" si="40"/>
        <v>0</v>
      </c>
      <c r="AC31" s="15">
        <f t="shared" si="45"/>
        <v>9</v>
      </c>
      <c r="AD31" s="15">
        <f t="shared" si="18"/>
        <v>9</v>
      </c>
      <c r="AE31" s="226"/>
    </row>
    <row r="32" spans="1:31" ht="54" customHeight="1" x14ac:dyDescent="0.25">
      <c r="A32" s="188"/>
      <c r="B32" s="200"/>
      <c r="C32" s="196"/>
      <c r="D32" s="183"/>
      <c r="E32" s="196"/>
      <c r="F32" s="183"/>
      <c r="G32" s="36">
        <v>28</v>
      </c>
      <c r="H32" s="60" t="s">
        <v>122</v>
      </c>
      <c r="I32" s="180"/>
      <c r="J32" s="15"/>
      <c r="K32" s="15"/>
      <c r="L32" s="15"/>
      <c r="M32" s="15"/>
      <c r="N32" s="15"/>
      <c r="O32" s="15">
        <v>1</v>
      </c>
      <c r="P32" s="210"/>
      <c r="Q32" s="15">
        <v>0</v>
      </c>
      <c r="R32" s="15">
        <f t="shared" si="34"/>
        <v>0.9</v>
      </c>
      <c r="S32" s="15">
        <f t="shared" si="35"/>
        <v>1.8</v>
      </c>
      <c r="T32" s="15">
        <f t="shared" si="36"/>
        <v>2.6999999999999997</v>
      </c>
      <c r="U32" s="15">
        <f t="shared" si="37"/>
        <v>5.3999999999999995</v>
      </c>
      <c r="V32" s="15">
        <f t="shared" si="38"/>
        <v>9</v>
      </c>
      <c r="W32" s="13"/>
      <c r="X32" s="15">
        <f t="shared" si="41"/>
        <v>0</v>
      </c>
      <c r="Y32" s="15">
        <f t="shared" si="42"/>
        <v>0</v>
      </c>
      <c r="Z32" s="15">
        <f t="shared" si="43"/>
        <v>0</v>
      </c>
      <c r="AA32" s="15">
        <f t="shared" si="44"/>
        <v>0</v>
      </c>
      <c r="AB32" s="15">
        <f t="shared" si="40"/>
        <v>0</v>
      </c>
      <c r="AC32" s="15">
        <f t="shared" si="45"/>
        <v>9</v>
      </c>
      <c r="AD32" s="15">
        <f t="shared" si="18"/>
        <v>9</v>
      </c>
      <c r="AE32" s="226"/>
    </row>
    <row r="33" spans="1:31" ht="46.5" customHeight="1" x14ac:dyDescent="0.25">
      <c r="A33" s="188"/>
      <c r="B33" s="200"/>
      <c r="C33" s="194"/>
      <c r="D33" s="181" t="s">
        <v>5</v>
      </c>
      <c r="E33" s="194"/>
      <c r="F33" s="181" t="s">
        <v>123</v>
      </c>
      <c r="G33" s="36">
        <v>29</v>
      </c>
      <c r="H33" s="60" t="s">
        <v>124</v>
      </c>
      <c r="I33" s="180" t="s">
        <v>296</v>
      </c>
      <c r="J33" s="15"/>
      <c r="K33" s="15"/>
      <c r="L33" s="15"/>
      <c r="M33" s="15"/>
      <c r="N33" s="15"/>
      <c r="O33" s="15">
        <v>1</v>
      </c>
      <c r="P33" s="210"/>
      <c r="Q33" s="15">
        <v>0</v>
      </c>
      <c r="R33" s="15">
        <f t="shared" si="34"/>
        <v>0.9</v>
      </c>
      <c r="S33" s="15">
        <f t="shared" si="35"/>
        <v>1.8</v>
      </c>
      <c r="T33" s="15">
        <f t="shared" si="36"/>
        <v>2.6999999999999997</v>
      </c>
      <c r="U33" s="15">
        <f t="shared" si="37"/>
        <v>5.3999999999999995</v>
      </c>
      <c r="V33" s="15">
        <f t="shared" si="38"/>
        <v>9</v>
      </c>
      <c r="W33" s="13"/>
      <c r="X33" s="15">
        <f t="shared" si="41"/>
        <v>0</v>
      </c>
      <c r="Y33" s="15">
        <f t="shared" si="42"/>
        <v>0</v>
      </c>
      <c r="Z33" s="15">
        <f t="shared" si="43"/>
        <v>0</v>
      </c>
      <c r="AA33" s="15">
        <f t="shared" si="44"/>
        <v>0</v>
      </c>
      <c r="AB33" s="15">
        <f t="shared" si="40"/>
        <v>0</v>
      </c>
      <c r="AC33" s="15">
        <f t="shared" si="45"/>
        <v>9</v>
      </c>
      <c r="AD33" s="15">
        <f t="shared" si="18"/>
        <v>9</v>
      </c>
      <c r="AE33" s="226"/>
    </row>
    <row r="34" spans="1:31" ht="69" customHeight="1" x14ac:dyDescent="0.25">
      <c r="A34" s="188"/>
      <c r="B34" s="200"/>
      <c r="C34" s="195"/>
      <c r="D34" s="182"/>
      <c r="E34" s="195"/>
      <c r="F34" s="182"/>
      <c r="G34" s="36">
        <v>30</v>
      </c>
      <c r="H34" s="60" t="s">
        <v>125</v>
      </c>
      <c r="I34" s="180"/>
      <c r="J34" s="15"/>
      <c r="K34" s="15"/>
      <c r="L34" s="15"/>
      <c r="M34" s="15"/>
      <c r="N34" s="15"/>
      <c r="O34" s="15">
        <v>1</v>
      </c>
      <c r="P34" s="210"/>
      <c r="Q34" s="15">
        <v>0</v>
      </c>
      <c r="R34" s="15">
        <f t="shared" si="34"/>
        <v>0.9</v>
      </c>
      <c r="S34" s="15">
        <f t="shared" si="35"/>
        <v>1.8</v>
      </c>
      <c r="T34" s="15">
        <f t="shared" si="36"/>
        <v>2.6999999999999997</v>
      </c>
      <c r="U34" s="15">
        <f t="shared" si="37"/>
        <v>5.3999999999999995</v>
      </c>
      <c r="V34" s="15">
        <f t="shared" si="38"/>
        <v>9</v>
      </c>
      <c r="W34" s="13"/>
      <c r="X34" s="15">
        <f t="shared" si="41"/>
        <v>0</v>
      </c>
      <c r="Y34" s="15">
        <f t="shared" si="42"/>
        <v>0</v>
      </c>
      <c r="Z34" s="15">
        <f t="shared" si="43"/>
        <v>0</v>
      </c>
      <c r="AA34" s="15">
        <f t="shared" si="44"/>
        <v>0</v>
      </c>
      <c r="AB34" s="15">
        <f t="shared" si="40"/>
        <v>0</v>
      </c>
      <c r="AC34" s="15">
        <f t="shared" si="45"/>
        <v>9</v>
      </c>
      <c r="AD34" s="15">
        <f t="shared" si="18"/>
        <v>9</v>
      </c>
      <c r="AE34" s="226"/>
    </row>
    <row r="35" spans="1:31" ht="45.75" customHeight="1" x14ac:dyDescent="0.25">
      <c r="A35" s="188"/>
      <c r="B35" s="200"/>
      <c r="C35" s="195"/>
      <c r="D35" s="182"/>
      <c r="E35" s="195"/>
      <c r="F35" s="182"/>
      <c r="G35" s="36">
        <v>31</v>
      </c>
      <c r="H35" s="60" t="s">
        <v>341</v>
      </c>
      <c r="I35" s="180"/>
      <c r="J35" s="15"/>
      <c r="K35" s="15"/>
      <c r="L35" s="15"/>
      <c r="M35" s="15"/>
      <c r="N35" s="15"/>
      <c r="O35" s="15">
        <v>1</v>
      </c>
      <c r="P35" s="210"/>
      <c r="Q35" s="15">
        <v>0</v>
      </c>
      <c r="R35" s="15">
        <f t="shared" si="34"/>
        <v>0.9</v>
      </c>
      <c r="S35" s="15">
        <f t="shared" si="35"/>
        <v>1.8</v>
      </c>
      <c r="T35" s="15">
        <f t="shared" si="36"/>
        <v>2.6999999999999997</v>
      </c>
      <c r="U35" s="15">
        <f t="shared" si="37"/>
        <v>5.3999999999999995</v>
      </c>
      <c r="V35" s="15">
        <f t="shared" si="38"/>
        <v>9</v>
      </c>
      <c r="W35" s="13"/>
      <c r="X35" s="15">
        <f t="shared" si="41"/>
        <v>0</v>
      </c>
      <c r="Y35" s="15">
        <f t="shared" si="42"/>
        <v>0</v>
      </c>
      <c r="Z35" s="15">
        <f t="shared" si="43"/>
        <v>0</v>
      </c>
      <c r="AA35" s="15">
        <f t="shared" si="44"/>
        <v>0</v>
      </c>
      <c r="AB35" s="15">
        <f t="shared" si="40"/>
        <v>0</v>
      </c>
      <c r="AC35" s="15">
        <f t="shared" si="45"/>
        <v>9</v>
      </c>
      <c r="AD35" s="15">
        <f t="shared" si="18"/>
        <v>9</v>
      </c>
      <c r="AE35" s="226"/>
    </row>
    <row r="36" spans="1:31" ht="81" customHeight="1" x14ac:dyDescent="0.25">
      <c r="A36" s="188"/>
      <c r="B36" s="200"/>
      <c r="C36" s="195"/>
      <c r="D36" s="182"/>
      <c r="E36" s="195"/>
      <c r="F36" s="182"/>
      <c r="G36" s="36">
        <v>32</v>
      </c>
      <c r="H36" s="60" t="s">
        <v>342</v>
      </c>
      <c r="I36" s="180"/>
      <c r="J36" s="15"/>
      <c r="K36" s="15"/>
      <c r="L36" s="15"/>
      <c r="M36" s="15"/>
      <c r="N36" s="15"/>
      <c r="O36" s="15">
        <v>1</v>
      </c>
      <c r="P36" s="210"/>
      <c r="Q36" s="15">
        <v>0</v>
      </c>
      <c r="R36" s="15">
        <f t="shared" si="34"/>
        <v>0.9</v>
      </c>
      <c r="S36" s="15">
        <f t="shared" si="35"/>
        <v>1.8</v>
      </c>
      <c r="T36" s="15">
        <f t="shared" si="36"/>
        <v>2.6999999999999997</v>
      </c>
      <c r="U36" s="15">
        <f t="shared" si="37"/>
        <v>5.3999999999999995</v>
      </c>
      <c r="V36" s="15">
        <f t="shared" si="38"/>
        <v>9</v>
      </c>
      <c r="W36" s="13"/>
      <c r="X36" s="15">
        <f t="shared" si="41"/>
        <v>0</v>
      </c>
      <c r="Y36" s="15">
        <f t="shared" si="42"/>
        <v>0</v>
      </c>
      <c r="Z36" s="15">
        <f t="shared" si="43"/>
        <v>0</v>
      </c>
      <c r="AA36" s="15">
        <f t="shared" si="44"/>
        <v>0</v>
      </c>
      <c r="AB36" s="15">
        <f t="shared" si="40"/>
        <v>0</v>
      </c>
      <c r="AC36" s="15">
        <f t="shared" si="45"/>
        <v>9</v>
      </c>
      <c r="AD36" s="15">
        <f t="shared" si="18"/>
        <v>9</v>
      </c>
      <c r="AE36" s="226"/>
    </row>
    <row r="37" spans="1:31" ht="51.75" customHeight="1" x14ac:dyDescent="0.25">
      <c r="A37" s="188"/>
      <c r="B37" s="200"/>
      <c r="C37" s="195"/>
      <c r="D37" s="182"/>
      <c r="E37" s="196"/>
      <c r="F37" s="183"/>
      <c r="G37" s="36">
        <v>33</v>
      </c>
      <c r="H37" s="60" t="s">
        <v>126</v>
      </c>
      <c r="I37" s="180"/>
      <c r="J37" s="15"/>
      <c r="K37" s="15"/>
      <c r="L37" s="15"/>
      <c r="M37" s="15"/>
      <c r="N37" s="15"/>
      <c r="O37" s="15">
        <v>1</v>
      </c>
      <c r="P37" s="210"/>
      <c r="Q37" s="15">
        <v>0</v>
      </c>
      <c r="R37" s="15">
        <f t="shared" si="34"/>
        <v>0.9</v>
      </c>
      <c r="S37" s="15">
        <f t="shared" si="35"/>
        <v>1.8</v>
      </c>
      <c r="T37" s="15">
        <f t="shared" si="36"/>
        <v>2.6999999999999997</v>
      </c>
      <c r="U37" s="15">
        <f t="shared" si="37"/>
        <v>5.3999999999999995</v>
      </c>
      <c r="V37" s="15">
        <f t="shared" si="38"/>
        <v>9</v>
      </c>
      <c r="W37" s="13"/>
      <c r="X37" s="15">
        <f t="shared" si="41"/>
        <v>0</v>
      </c>
      <c r="Y37" s="15">
        <f t="shared" si="42"/>
        <v>0</v>
      </c>
      <c r="Z37" s="15">
        <f t="shared" si="43"/>
        <v>0</v>
      </c>
      <c r="AA37" s="15">
        <f t="shared" si="44"/>
        <v>0</v>
      </c>
      <c r="AB37" s="15">
        <f t="shared" si="40"/>
        <v>0</v>
      </c>
      <c r="AC37" s="15">
        <f t="shared" si="45"/>
        <v>9</v>
      </c>
      <c r="AD37" s="15">
        <f t="shared" ref="AD37:AD63" si="46">X37+Y37+Z37+AA37+AB37+AC37</f>
        <v>9</v>
      </c>
      <c r="AE37" s="226"/>
    </row>
    <row r="38" spans="1:31" ht="47.25" customHeight="1" x14ac:dyDescent="0.25">
      <c r="A38" s="188"/>
      <c r="B38" s="200"/>
      <c r="C38" s="195"/>
      <c r="D38" s="182"/>
      <c r="E38" s="194"/>
      <c r="F38" s="181" t="s">
        <v>127</v>
      </c>
      <c r="G38" s="36">
        <v>34</v>
      </c>
      <c r="H38" s="60" t="s">
        <v>128</v>
      </c>
      <c r="I38" s="180" t="s">
        <v>297</v>
      </c>
      <c r="J38" s="15"/>
      <c r="K38" s="15"/>
      <c r="L38" s="15"/>
      <c r="M38" s="15"/>
      <c r="N38" s="15"/>
      <c r="O38" s="15">
        <v>1</v>
      </c>
      <c r="P38" s="210"/>
      <c r="Q38" s="15">
        <v>0</v>
      </c>
      <c r="R38" s="15">
        <f t="shared" si="34"/>
        <v>0.9</v>
      </c>
      <c r="S38" s="15">
        <f t="shared" si="35"/>
        <v>1.8</v>
      </c>
      <c r="T38" s="15">
        <f t="shared" si="36"/>
        <v>2.6999999999999997</v>
      </c>
      <c r="U38" s="15">
        <f t="shared" si="37"/>
        <v>5.3999999999999995</v>
      </c>
      <c r="V38" s="15">
        <f t="shared" si="38"/>
        <v>9</v>
      </c>
      <c r="W38" s="13"/>
      <c r="X38" s="15">
        <f t="shared" si="41"/>
        <v>0</v>
      </c>
      <c r="Y38" s="15">
        <f t="shared" si="42"/>
        <v>0</v>
      </c>
      <c r="Z38" s="15">
        <f t="shared" si="43"/>
        <v>0</v>
      </c>
      <c r="AA38" s="15">
        <f t="shared" si="44"/>
        <v>0</v>
      </c>
      <c r="AB38" s="15">
        <f t="shared" si="40"/>
        <v>0</v>
      </c>
      <c r="AC38" s="15">
        <f t="shared" si="45"/>
        <v>9</v>
      </c>
      <c r="AD38" s="15">
        <f t="shared" si="46"/>
        <v>9</v>
      </c>
      <c r="AE38" s="226"/>
    </row>
    <row r="39" spans="1:31" ht="42.75" customHeight="1" x14ac:dyDescent="0.25">
      <c r="A39" s="188"/>
      <c r="B39" s="200"/>
      <c r="C39" s="195"/>
      <c r="D39" s="182"/>
      <c r="E39" s="195"/>
      <c r="F39" s="182"/>
      <c r="G39" s="36">
        <v>35</v>
      </c>
      <c r="H39" s="60" t="s">
        <v>129</v>
      </c>
      <c r="I39" s="180"/>
      <c r="J39" s="15"/>
      <c r="K39" s="15"/>
      <c r="L39" s="15"/>
      <c r="M39" s="15"/>
      <c r="N39" s="15"/>
      <c r="O39" s="15">
        <v>1</v>
      </c>
      <c r="P39" s="210"/>
      <c r="Q39" s="15">
        <v>0</v>
      </c>
      <c r="R39" s="15">
        <f t="shared" si="34"/>
        <v>0.9</v>
      </c>
      <c r="S39" s="15">
        <f t="shared" si="35"/>
        <v>1.8</v>
      </c>
      <c r="T39" s="15">
        <f t="shared" si="36"/>
        <v>2.6999999999999997</v>
      </c>
      <c r="U39" s="15">
        <f t="shared" si="37"/>
        <v>5.3999999999999995</v>
      </c>
      <c r="V39" s="15">
        <f t="shared" si="38"/>
        <v>9</v>
      </c>
      <c r="W39" s="13"/>
      <c r="X39" s="15">
        <f t="shared" si="41"/>
        <v>0</v>
      </c>
      <c r="Y39" s="15">
        <f t="shared" si="42"/>
        <v>0</v>
      </c>
      <c r="Z39" s="15">
        <f t="shared" si="43"/>
        <v>0</v>
      </c>
      <c r="AA39" s="15">
        <f t="shared" si="44"/>
        <v>0</v>
      </c>
      <c r="AB39" s="15">
        <f t="shared" si="40"/>
        <v>0</v>
      </c>
      <c r="AC39" s="15">
        <f t="shared" si="45"/>
        <v>9</v>
      </c>
      <c r="AD39" s="15">
        <f t="shared" si="46"/>
        <v>9</v>
      </c>
      <c r="AE39" s="226"/>
    </row>
    <row r="40" spans="1:31" ht="63.75" customHeight="1" x14ac:dyDescent="0.25">
      <c r="A40" s="188"/>
      <c r="B40" s="200"/>
      <c r="C40" s="195"/>
      <c r="D40" s="182"/>
      <c r="E40" s="196"/>
      <c r="F40" s="183"/>
      <c r="G40" s="36">
        <v>36</v>
      </c>
      <c r="H40" s="60" t="s">
        <v>130</v>
      </c>
      <c r="I40" s="180"/>
      <c r="J40" s="15"/>
      <c r="K40" s="15"/>
      <c r="L40" s="15"/>
      <c r="M40" s="15"/>
      <c r="N40" s="15"/>
      <c r="O40" s="15">
        <v>1</v>
      </c>
      <c r="P40" s="210"/>
      <c r="Q40" s="15">
        <v>0</v>
      </c>
      <c r="R40" s="15">
        <f t="shared" si="34"/>
        <v>0.9</v>
      </c>
      <c r="S40" s="15">
        <f t="shared" si="35"/>
        <v>1.8</v>
      </c>
      <c r="T40" s="15">
        <f t="shared" si="36"/>
        <v>2.6999999999999997</v>
      </c>
      <c r="U40" s="15">
        <f t="shared" si="37"/>
        <v>5.3999999999999995</v>
      </c>
      <c r="V40" s="15">
        <f t="shared" si="38"/>
        <v>9</v>
      </c>
      <c r="W40" s="13"/>
      <c r="X40" s="15">
        <f t="shared" si="41"/>
        <v>0</v>
      </c>
      <c r="Y40" s="15">
        <f t="shared" si="42"/>
        <v>0</v>
      </c>
      <c r="Z40" s="15">
        <f t="shared" si="43"/>
        <v>0</v>
      </c>
      <c r="AA40" s="15">
        <f t="shared" si="44"/>
        <v>0</v>
      </c>
      <c r="AB40" s="15">
        <f t="shared" si="40"/>
        <v>0</v>
      </c>
      <c r="AC40" s="15">
        <f t="shared" si="45"/>
        <v>9</v>
      </c>
      <c r="AD40" s="15">
        <f t="shared" si="46"/>
        <v>9</v>
      </c>
      <c r="AE40" s="226"/>
    </row>
    <row r="41" spans="1:31" ht="106.5" customHeight="1" x14ac:dyDescent="0.25">
      <c r="A41" s="188"/>
      <c r="B41" s="200"/>
      <c r="C41" s="195"/>
      <c r="D41" s="182"/>
      <c r="E41" s="194"/>
      <c r="F41" s="181" t="s">
        <v>6</v>
      </c>
      <c r="G41" s="36">
        <v>37</v>
      </c>
      <c r="H41" s="60" t="s">
        <v>354</v>
      </c>
      <c r="I41" s="180"/>
      <c r="J41" s="15"/>
      <c r="K41" s="15"/>
      <c r="L41" s="15"/>
      <c r="M41" s="15"/>
      <c r="N41" s="15"/>
      <c r="O41" s="15">
        <v>1</v>
      </c>
      <c r="P41" s="210"/>
      <c r="Q41" s="15">
        <v>0</v>
      </c>
      <c r="R41" s="15">
        <f t="shared" si="34"/>
        <v>0.9</v>
      </c>
      <c r="S41" s="15">
        <f t="shared" si="35"/>
        <v>1.8</v>
      </c>
      <c r="T41" s="15">
        <f t="shared" si="36"/>
        <v>2.6999999999999997</v>
      </c>
      <c r="U41" s="15">
        <f t="shared" si="37"/>
        <v>5.3999999999999995</v>
      </c>
      <c r="V41" s="15">
        <f t="shared" si="38"/>
        <v>9</v>
      </c>
      <c r="W41" s="13"/>
      <c r="X41" s="15">
        <f t="shared" si="41"/>
        <v>0</v>
      </c>
      <c r="Y41" s="15">
        <f t="shared" si="42"/>
        <v>0</v>
      </c>
      <c r="Z41" s="15">
        <f t="shared" si="43"/>
        <v>0</v>
      </c>
      <c r="AA41" s="15">
        <f t="shared" si="44"/>
        <v>0</v>
      </c>
      <c r="AB41" s="15">
        <f t="shared" si="40"/>
        <v>0</v>
      </c>
      <c r="AC41" s="15">
        <f t="shared" si="45"/>
        <v>9</v>
      </c>
      <c r="AD41" s="15">
        <f t="shared" si="46"/>
        <v>9</v>
      </c>
      <c r="AE41" s="226"/>
    </row>
    <row r="42" spans="1:31" ht="158.25" customHeight="1" x14ac:dyDescent="0.25">
      <c r="A42" s="189"/>
      <c r="B42" s="201"/>
      <c r="C42" s="196"/>
      <c r="D42" s="183"/>
      <c r="E42" s="196"/>
      <c r="F42" s="183"/>
      <c r="G42" s="36">
        <v>38</v>
      </c>
      <c r="H42" s="60" t="s">
        <v>131</v>
      </c>
      <c r="I42" s="180"/>
      <c r="J42" s="15"/>
      <c r="K42" s="15"/>
      <c r="L42" s="15"/>
      <c r="M42" s="15"/>
      <c r="N42" s="15"/>
      <c r="O42" s="15">
        <v>1</v>
      </c>
      <c r="P42" s="210"/>
      <c r="Q42" s="15">
        <v>0</v>
      </c>
      <c r="R42" s="15">
        <f t="shared" si="34"/>
        <v>0.9</v>
      </c>
      <c r="S42" s="15">
        <f t="shared" si="35"/>
        <v>1.8</v>
      </c>
      <c r="T42" s="15">
        <f t="shared" si="36"/>
        <v>2.6999999999999997</v>
      </c>
      <c r="U42" s="15">
        <f t="shared" si="37"/>
        <v>5.3999999999999995</v>
      </c>
      <c r="V42" s="15">
        <f t="shared" si="38"/>
        <v>9</v>
      </c>
      <c r="W42" s="13"/>
      <c r="X42" s="15">
        <f t="shared" si="41"/>
        <v>0</v>
      </c>
      <c r="Y42" s="15">
        <f t="shared" si="42"/>
        <v>0</v>
      </c>
      <c r="Z42" s="15">
        <f t="shared" si="43"/>
        <v>0</v>
      </c>
      <c r="AA42" s="15">
        <f t="shared" si="44"/>
        <v>0</v>
      </c>
      <c r="AB42" s="15">
        <f t="shared" si="40"/>
        <v>0</v>
      </c>
      <c r="AC42" s="15">
        <f t="shared" si="45"/>
        <v>9</v>
      </c>
      <c r="AD42" s="15">
        <f t="shared" si="46"/>
        <v>9</v>
      </c>
      <c r="AE42" s="226"/>
    </row>
    <row r="43" spans="1:31" ht="85.5" customHeight="1" x14ac:dyDescent="0.25">
      <c r="A43" s="187">
        <v>2</v>
      </c>
      <c r="B43" s="184" t="s">
        <v>20</v>
      </c>
      <c r="C43" s="194"/>
      <c r="D43" s="181" t="s">
        <v>25</v>
      </c>
      <c r="E43" s="194"/>
      <c r="F43" s="181" t="s">
        <v>132</v>
      </c>
      <c r="G43" s="36">
        <v>1</v>
      </c>
      <c r="H43" s="60" t="s">
        <v>343</v>
      </c>
      <c r="I43" s="180" t="s">
        <v>298</v>
      </c>
      <c r="J43" s="15"/>
      <c r="K43" s="15"/>
      <c r="L43" s="15"/>
      <c r="M43" s="15"/>
      <c r="N43" s="15"/>
      <c r="O43" s="15">
        <v>1</v>
      </c>
      <c r="P43" s="31"/>
      <c r="Q43" s="15">
        <v>0</v>
      </c>
      <c r="R43" s="15">
        <f>7*0.1</f>
        <v>0.70000000000000007</v>
      </c>
      <c r="S43" s="15">
        <f>7*0.2</f>
        <v>1.4000000000000001</v>
      </c>
      <c r="T43" s="15">
        <f>7*0.3</f>
        <v>2.1</v>
      </c>
      <c r="U43" s="15">
        <f>7*0.6</f>
        <v>4.2</v>
      </c>
      <c r="V43" s="15">
        <f>7*1</f>
        <v>7</v>
      </c>
      <c r="W43" s="13"/>
      <c r="X43" s="15">
        <f t="shared" si="41"/>
        <v>0</v>
      </c>
      <c r="Y43" s="15">
        <f t="shared" si="42"/>
        <v>0</v>
      </c>
      <c r="Z43" s="15">
        <f t="shared" si="43"/>
        <v>0</v>
      </c>
      <c r="AA43" s="15">
        <f t="shared" si="44"/>
        <v>0</v>
      </c>
      <c r="AB43" s="15">
        <f t="shared" si="40"/>
        <v>0</v>
      </c>
      <c r="AC43" s="15">
        <f t="shared" si="45"/>
        <v>7</v>
      </c>
      <c r="AD43" s="15">
        <f t="shared" si="46"/>
        <v>7</v>
      </c>
      <c r="AE43" s="226">
        <f>SUM(AD43:AD59)</f>
        <v>130</v>
      </c>
    </row>
    <row r="44" spans="1:31" ht="65.25" customHeight="1" x14ac:dyDescent="0.25">
      <c r="A44" s="188"/>
      <c r="B44" s="185"/>
      <c r="C44" s="195"/>
      <c r="D44" s="182"/>
      <c r="E44" s="195"/>
      <c r="F44" s="182"/>
      <c r="G44" s="36">
        <v>2</v>
      </c>
      <c r="H44" s="60" t="s">
        <v>133</v>
      </c>
      <c r="I44" s="180"/>
      <c r="J44" s="15"/>
      <c r="K44" s="15"/>
      <c r="L44" s="15"/>
      <c r="M44" s="15"/>
      <c r="N44" s="15"/>
      <c r="O44" s="15">
        <v>1</v>
      </c>
      <c r="P44" s="210"/>
      <c r="Q44" s="15">
        <v>0</v>
      </c>
      <c r="R44" s="15">
        <f t="shared" ref="R44:R56" si="47">7*0.1</f>
        <v>0.70000000000000007</v>
      </c>
      <c r="S44" s="15">
        <f t="shared" ref="S44:S56" si="48">7*0.2</f>
        <v>1.4000000000000001</v>
      </c>
      <c r="T44" s="15">
        <f t="shared" ref="T44:T56" si="49">7*0.3</f>
        <v>2.1</v>
      </c>
      <c r="U44" s="15">
        <f t="shared" ref="U44:U56" si="50">7*0.6</f>
        <v>4.2</v>
      </c>
      <c r="V44" s="15">
        <f t="shared" ref="V44:V56" si="51">7*1</f>
        <v>7</v>
      </c>
      <c r="W44" s="13"/>
      <c r="X44" s="15">
        <f t="shared" si="41"/>
        <v>0</v>
      </c>
      <c r="Y44" s="15">
        <f t="shared" si="42"/>
        <v>0</v>
      </c>
      <c r="Z44" s="15">
        <f t="shared" si="43"/>
        <v>0</v>
      </c>
      <c r="AA44" s="15">
        <f t="shared" si="44"/>
        <v>0</v>
      </c>
      <c r="AB44" s="15">
        <f t="shared" si="40"/>
        <v>0</v>
      </c>
      <c r="AC44" s="15">
        <f t="shared" si="45"/>
        <v>7</v>
      </c>
      <c r="AD44" s="15">
        <f t="shared" si="46"/>
        <v>7</v>
      </c>
      <c r="AE44" s="226"/>
    </row>
    <row r="45" spans="1:31" ht="54" customHeight="1" x14ac:dyDescent="0.25">
      <c r="A45" s="188"/>
      <c r="B45" s="185"/>
      <c r="C45" s="195"/>
      <c r="D45" s="182"/>
      <c r="E45" s="195"/>
      <c r="F45" s="182"/>
      <c r="G45" s="36">
        <v>3</v>
      </c>
      <c r="H45" s="60" t="s">
        <v>134</v>
      </c>
      <c r="I45" s="180"/>
      <c r="J45" s="15"/>
      <c r="K45" s="15"/>
      <c r="L45" s="15"/>
      <c r="M45" s="15"/>
      <c r="N45" s="15"/>
      <c r="O45" s="15">
        <v>1</v>
      </c>
      <c r="P45" s="210"/>
      <c r="Q45" s="15">
        <v>0</v>
      </c>
      <c r="R45" s="15">
        <f t="shared" si="47"/>
        <v>0.70000000000000007</v>
      </c>
      <c r="S45" s="15">
        <f t="shared" si="48"/>
        <v>1.4000000000000001</v>
      </c>
      <c r="T45" s="15">
        <f t="shared" si="49"/>
        <v>2.1</v>
      </c>
      <c r="U45" s="15">
        <f t="shared" si="50"/>
        <v>4.2</v>
      </c>
      <c r="V45" s="15">
        <f t="shared" si="51"/>
        <v>7</v>
      </c>
      <c r="W45" s="13"/>
      <c r="X45" s="15">
        <f t="shared" si="41"/>
        <v>0</v>
      </c>
      <c r="Y45" s="15">
        <f t="shared" si="42"/>
        <v>0</v>
      </c>
      <c r="Z45" s="15">
        <f t="shared" si="43"/>
        <v>0</v>
      </c>
      <c r="AA45" s="15">
        <f t="shared" si="44"/>
        <v>0</v>
      </c>
      <c r="AB45" s="15">
        <f t="shared" si="40"/>
        <v>0</v>
      </c>
      <c r="AC45" s="15">
        <f t="shared" si="45"/>
        <v>7</v>
      </c>
      <c r="AD45" s="15">
        <f t="shared" si="46"/>
        <v>7</v>
      </c>
      <c r="AE45" s="226"/>
    </row>
    <row r="46" spans="1:31" ht="62.25" customHeight="1" x14ac:dyDescent="0.25">
      <c r="A46" s="188"/>
      <c r="B46" s="185"/>
      <c r="C46" s="195"/>
      <c r="D46" s="182"/>
      <c r="E46" s="195"/>
      <c r="F46" s="182"/>
      <c r="G46" s="36">
        <v>4</v>
      </c>
      <c r="H46" s="60" t="s">
        <v>135</v>
      </c>
      <c r="I46" s="180"/>
      <c r="J46" s="15"/>
      <c r="K46" s="15"/>
      <c r="L46" s="15"/>
      <c r="M46" s="15"/>
      <c r="N46" s="15"/>
      <c r="O46" s="15">
        <v>1</v>
      </c>
      <c r="P46" s="210"/>
      <c r="Q46" s="15">
        <v>0</v>
      </c>
      <c r="R46" s="15">
        <f t="shared" si="47"/>
        <v>0.70000000000000007</v>
      </c>
      <c r="S46" s="15">
        <f t="shared" si="48"/>
        <v>1.4000000000000001</v>
      </c>
      <c r="T46" s="15">
        <f t="shared" si="49"/>
        <v>2.1</v>
      </c>
      <c r="U46" s="15">
        <f t="shared" si="50"/>
        <v>4.2</v>
      </c>
      <c r="V46" s="15">
        <f t="shared" si="51"/>
        <v>7</v>
      </c>
      <c r="W46" s="13"/>
      <c r="X46" s="15">
        <f t="shared" si="41"/>
        <v>0</v>
      </c>
      <c r="Y46" s="15">
        <f t="shared" si="42"/>
        <v>0</v>
      </c>
      <c r="Z46" s="15">
        <f t="shared" si="43"/>
        <v>0</v>
      </c>
      <c r="AA46" s="15">
        <f t="shared" si="44"/>
        <v>0</v>
      </c>
      <c r="AB46" s="15">
        <f t="shared" si="40"/>
        <v>0</v>
      </c>
      <c r="AC46" s="15">
        <f t="shared" si="45"/>
        <v>7</v>
      </c>
      <c r="AD46" s="15">
        <f t="shared" si="46"/>
        <v>7</v>
      </c>
      <c r="AE46" s="226"/>
    </row>
    <row r="47" spans="1:31" ht="84.75" customHeight="1" x14ac:dyDescent="0.25">
      <c r="A47" s="188"/>
      <c r="B47" s="185"/>
      <c r="C47" s="195"/>
      <c r="D47" s="182"/>
      <c r="E47" s="195"/>
      <c r="F47" s="182"/>
      <c r="G47" s="36">
        <v>5</v>
      </c>
      <c r="H47" s="60" t="s">
        <v>136</v>
      </c>
      <c r="I47" s="180"/>
      <c r="J47" s="15"/>
      <c r="K47" s="15"/>
      <c r="L47" s="15"/>
      <c r="M47" s="15"/>
      <c r="N47" s="15"/>
      <c r="O47" s="15">
        <v>1</v>
      </c>
      <c r="P47" s="210"/>
      <c r="Q47" s="15">
        <v>0</v>
      </c>
      <c r="R47" s="15">
        <f t="shared" si="47"/>
        <v>0.70000000000000007</v>
      </c>
      <c r="S47" s="15">
        <f t="shared" si="48"/>
        <v>1.4000000000000001</v>
      </c>
      <c r="T47" s="15">
        <f t="shared" si="49"/>
        <v>2.1</v>
      </c>
      <c r="U47" s="15">
        <f t="shared" si="50"/>
        <v>4.2</v>
      </c>
      <c r="V47" s="15">
        <f t="shared" si="51"/>
        <v>7</v>
      </c>
      <c r="W47" s="13"/>
      <c r="X47" s="15">
        <f t="shared" si="41"/>
        <v>0</v>
      </c>
      <c r="Y47" s="15">
        <f t="shared" si="42"/>
        <v>0</v>
      </c>
      <c r="Z47" s="15">
        <f t="shared" si="43"/>
        <v>0</v>
      </c>
      <c r="AA47" s="15">
        <f t="shared" si="44"/>
        <v>0</v>
      </c>
      <c r="AB47" s="15">
        <f t="shared" si="40"/>
        <v>0</v>
      </c>
      <c r="AC47" s="15">
        <f t="shared" si="45"/>
        <v>7</v>
      </c>
      <c r="AD47" s="15">
        <f t="shared" si="46"/>
        <v>7</v>
      </c>
      <c r="AE47" s="226"/>
    </row>
    <row r="48" spans="1:31" ht="109.5" customHeight="1" x14ac:dyDescent="0.25">
      <c r="A48" s="188"/>
      <c r="B48" s="185"/>
      <c r="C48" s="195"/>
      <c r="D48" s="182"/>
      <c r="E48" s="195"/>
      <c r="F48" s="182"/>
      <c r="G48" s="36">
        <v>6</v>
      </c>
      <c r="H48" s="60" t="s">
        <v>137</v>
      </c>
      <c r="I48" s="180"/>
      <c r="J48" s="15"/>
      <c r="K48" s="15"/>
      <c r="L48" s="15"/>
      <c r="M48" s="15"/>
      <c r="N48" s="15"/>
      <c r="O48" s="15">
        <v>1</v>
      </c>
      <c r="P48" s="210"/>
      <c r="Q48" s="15">
        <v>0</v>
      </c>
      <c r="R48" s="15">
        <f t="shared" si="47"/>
        <v>0.70000000000000007</v>
      </c>
      <c r="S48" s="15">
        <f t="shared" si="48"/>
        <v>1.4000000000000001</v>
      </c>
      <c r="T48" s="15">
        <f t="shared" si="49"/>
        <v>2.1</v>
      </c>
      <c r="U48" s="15">
        <f t="shared" si="50"/>
        <v>4.2</v>
      </c>
      <c r="V48" s="15">
        <f t="shared" si="51"/>
        <v>7</v>
      </c>
      <c r="W48" s="13"/>
      <c r="X48" s="15">
        <f t="shared" si="41"/>
        <v>0</v>
      </c>
      <c r="Y48" s="15">
        <f t="shared" si="42"/>
        <v>0</v>
      </c>
      <c r="Z48" s="15">
        <f t="shared" si="43"/>
        <v>0</v>
      </c>
      <c r="AA48" s="15">
        <f t="shared" si="44"/>
        <v>0</v>
      </c>
      <c r="AB48" s="15">
        <f t="shared" si="40"/>
        <v>0</v>
      </c>
      <c r="AC48" s="15">
        <f t="shared" si="45"/>
        <v>7</v>
      </c>
      <c r="AD48" s="15">
        <f t="shared" si="46"/>
        <v>7</v>
      </c>
      <c r="AE48" s="226"/>
    </row>
    <row r="49" spans="1:31" ht="99" customHeight="1" x14ac:dyDescent="0.25">
      <c r="A49" s="188"/>
      <c r="B49" s="185"/>
      <c r="C49" s="196"/>
      <c r="D49" s="183"/>
      <c r="E49" s="196"/>
      <c r="F49" s="183"/>
      <c r="G49" s="36">
        <v>7</v>
      </c>
      <c r="H49" s="60" t="s">
        <v>138</v>
      </c>
      <c r="I49" s="180"/>
      <c r="J49" s="15"/>
      <c r="K49" s="15"/>
      <c r="L49" s="15"/>
      <c r="M49" s="15"/>
      <c r="N49" s="15"/>
      <c r="O49" s="15">
        <v>1</v>
      </c>
      <c r="P49" s="210"/>
      <c r="Q49" s="15">
        <v>0</v>
      </c>
      <c r="R49" s="15">
        <f t="shared" si="47"/>
        <v>0.70000000000000007</v>
      </c>
      <c r="S49" s="15">
        <f t="shared" si="48"/>
        <v>1.4000000000000001</v>
      </c>
      <c r="T49" s="15">
        <f t="shared" si="49"/>
        <v>2.1</v>
      </c>
      <c r="U49" s="15">
        <f t="shared" si="50"/>
        <v>4.2</v>
      </c>
      <c r="V49" s="15">
        <f t="shared" si="51"/>
        <v>7</v>
      </c>
      <c r="W49" s="13"/>
      <c r="X49" s="15">
        <f t="shared" si="41"/>
        <v>0</v>
      </c>
      <c r="Y49" s="15">
        <f t="shared" si="42"/>
        <v>0</v>
      </c>
      <c r="Z49" s="15">
        <f t="shared" si="43"/>
        <v>0</v>
      </c>
      <c r="AA49" s="15">
        <f t="shared" si="44"/>
        <v>0</v>
      </c>
      <c r="AB49" s="15">
        <f t="shared" si="40"/>
        <v>0</v>
      </c>
      <c r="AC49" s="15">
        <f t="shared" si="45"/>
        <v>7</v>
      </c>
      <c r="AD49" s="15">
        <f t="shared" si="46"/>
        <v>7</v>
      </c>
      <c r="AE49" s="226"/>
    </row>
    <row r="50" spans="1:31" ht="74.25" customHeight="1" x14ac:dyDescent="0.25">
      <c r="A50" s="188"/>
      <c r="B50" s="185"/>
      <c r="C50" s="194"/>
      <c r="D50" s="181" t="s">
        <v>26</v>
      </c>
      <c r="E50" s="194"/>
      <c r="F50" s="181" t="s">
        <v>139</v>
      </c>
      <c r="G50" s="36">
        <v>8</v>
      </c>
      <c r="H50" s="60" t="s">
        <v>344</v>
      </c>
      <c r="I50" s="181" t="s">
        <v>299</v>
      </c>
      <c r="J50" s="15"/>
      <c r="K50" s="15"/>
      <c r="L50" s="15"/>
      <c r="M50" s="15"/>
      <c r="N50" s="15"/>
      <c r="O50" s="15">
        <v>1</v>
      </c>
      <c r="P50" s="210"/>
      <c r="Q50" s="15">
        <v>0</v>
      </c>
      <c r="R50" s="15">
        <f t="shared" si="47"/>
        <v>0.70000000000000007</v>
      </c>
      <c r="S50" s="15">
        <f t="shared" si="48"/>
        <v>1.4000000000000001</v>
      </c>
      <c r="T50" s="15">
        <f t="shared" si="49"/>
        <v>2.1</v>
      </c>
      <c r="U50" s="15">
        <f t="shared" si="50"/>
        <v>4.2</v>
      </c>
      <c r="V50" s="15">
        <f t="shared" si="51"/>
        <v>7</v>
      </c>
      <c r="W50" s="13"/>
      <c r="X50" s="15">
        <f t="shared" si="41"/>
        <v>0</v>
      </c>
      <c r="Y50" s="15">
        <f t="shared" si="42"/>
        <v>0</v>
      </c>
      <c r="Z50" s="15">
        <f t="shared" si="43"/>
        <v>0</v>
      </c>
      <c r="AA50" s="15">
        <f t="shared" si="44"/>
        <v>0</v>
      </c>
      <c r="AB50" s="15">
        <f t="shared" si="40"/>
        <v>0</v>
      </c>
      <c r="AC50" s="15">
        <f t="shared" si="45"/>
        <v>7</v>
      </c>
      <c r="AD50" s="15">
        <f t="shared" si="46"/>
        <v>7</v>
      </c>
      <c r="AE50" s="226"/>
    </row>
    <row r="51" spans="1:31" ht="78" customHeight="1" x14ac:dyDescent="0.25">
      <c r="A51" s="188"/>
      <c r="B51" s="185"/>
      <c r="C51" s="195"/>
      <c r="D51" s="182"/>
      <c r="E51" s="195"/>
      <c r="F51" s="182"/>
      <c r="G51" s="36">
        <v>9</v>
      </c>
      <c r="H51" s="60" t="s">
        <v>140</v>
      </c>
      <c r="I51" s="182"/>
      <c r="J51" s="15"/>
      <c r="K51" s="15"/>
      <c r="L51" s="15"/>
      <c r="M51" s="15"/>
      <c r="N51" s="15"/>
      <c r="O51" s="15">
        <v>1</v>
      </c>
      <c r="P51" s="210"/>
      <c r="Q51" s="15">
        <v>0</v>
      </c>
      <c r="R51" s="15">
        <f t="shared" si="47"/>
        <v>0.70000000000000007</v>
      </c>
      <c r="S51" s="15">
        <f t="shared" si="48"/>
        <v>1.4000000000000001</v>
      </c>
      <c r="T51" s="15">
        <f t="shared" si="49"/>
        <v>2.1</v>
      </c>
      <c r="U51" s="15">
        <f t="shared" si="50"/>
        <v>4.2</v>
      </c>
      <c r="V51" s="15">
        <f t="shared" si="51"/>
        <v>7</v>
      </c>
      <c r="W51" s="13"/>
      <c r="X51" s="15">
        <f t="shared" si="41"/>
        <v>0</v>
      </c>
      <c r="Y51" s="15">
        <f t="shared" si="42"/>
        <v>0</v>
      </c>
      <c r="Z51" s="15">
        <f t="shared" si="43"/>
        <v>0</v>
      </c>
      <c r="AA51" s="15">
        <f t="shared" si="44"/>
        <v>0</v>
      </c>
      <c r="AB51" s="15">
        <f t="shared" si="40"/>
        <v>0</v>
      </c>
      <c r="AC51" s="15">
        <f t="shared" si="45"/>
        <v>7</v>
      </c>
      <c r="AD51" s="15">
        <f t="shared" si="46"/>
        <v>7</v>
      </c>
      <c r="AE51" s="226"/>
    </row>
    <row r="52" spans="1:31" ht="69.75" customHeight="1" x14ac:dyDescent="0.25">
      <c r="A52" s="188"/>
      <c r="B52" s="185"/>
      <c r="C52" s="195"/>
      <c r="D52" s="182"/>
      <c r="E52" s="195"/>
      <c r="F52" s="182"/>
      <c r="G52" s="36">
        <v>10</v>
      </c>
      <c r="H52" s="60" t="s">
        <v>141</v>
      </c>
      <c r="I52" s="182"/>
      <c r="J52" s="15"/>
      <c r="K52" s="15"/>
      <c r="L52" s="15"/>
      <c r="M52" s="15"/>
      <c r="N52" s="15"/>
      <c r="O52" s="15">
        <v>1</v>
      </c>
      <c r="P52" s="210"/>
      <c r="Q52" s="15">
        <v>0</v>
      </c>
      <c r="R52" s="15">
        <f t="shared" si="47"/>
        <v>0.70000000000000007</v>
      </c>
      <c r="S52" s="15">
        <f t="shared" si="48"/>
        <v>1.4000000000000001</v>
      </c>
      <c r="T52" s="15">
        <f t="shared" si="49"/>
        <v>2.1</v>
      </c>
      <c r="U52" s="15">
        <f t="shared" si="50"/>
        <v>4.2</v>
      </c>
      <c r="V52" s="15">
        <f t="shared" si="51"/>
        <v>7</v>
      </c>
      <c r="W52" s="13"/>
      <c r="X52" s="15">
        <f t="shared" si="41"/>
        <v>0</v>
      </c>
      <c r="Y52" s="15">
        <f t="shared" si="42"/>
        <v>0</v>
      </c>
      <c r="Z52" s="15">
        <f t="shared" si="43"/>
        <v>0</v>
      </c>
      <c r="AA52" s="15">
        <f t="shared" si="44"/>
        <v>0</v>
      </c>
      <c r="AB52" s="15">
        <f t="shared" si="40"/>
        <v>0</v>
      </c>
      <c r="AC52" s="15">
        <f t="shared" si="45"/>
        <v>7</v>
      </c>
      <c r="AD52" s="15">
        <f t="shared" si="46"/>
        <v>7</v>
      </c>
      <c r="AE52" s="226"/>
    </row>
    <row r="53" spans="1:31" ht="98.25" customHeight="1" x14ac:dyDescent="0.25">
      <c r="A53" s="188"/>
      <c r="B53" s="185"/>
      <c r="C53" s="195"/>
      <c r="D53" s="182"/>
      <c r="E53" s="195"/>
      <c r="F53" s="182"/>
      <c r="G53" s="36">
        <v>11</v>
      </c>
      <c r="H53" s="60" t="s">
        <v>142</v>
      </c>
      <c r="I53" s="182"/>
      <c r="J53" s="15"/>
      <c r="K53" s="15"/>
      <c r="L53" s="15"/>
      <c r="M53" s="15"/>
      <c r="N53" s="15"/>
      <c r="O53" s="15">
        <v>1</v>
      </c>
      <c r="P53" s="210"/>
      <c r="Q53" s="15">
        <v>0</v>
      </c>
      <c r="R53" s="15">
        <f>12*0.1</f>
        <v>1.2000000000000002</v>
      </c>
      <c r="S53" s="15">
        <f>12*0.2</f>
        <v>2.4000000000000004</v>
      </c>
      <c r="T53" s="15">
        <f>12*0.3</f>
        <v>3.5999999999999996</v>
      </c>
      <c r="U53" s="15">
        <f>12*0.6</f>
        <v>7.1999999999999993</v>
      </c>
      <c r="V53" s="15">
        <f>12*1</f>
        <v>12</v>
      </c>
      <c r="W53" s="13"/>
      <c r="X53" s="15">
        <f t="shared" si="41"/>
        <v>0</v>
      </c>
      <c r="Y53" s="15">
        <f t="shared" si="42"/>
        <v>0</v>
      </c>
      <c r="Z53" s="15">
        <f t="shared" si="43"/>
        <v>0</v>
      </c>
      <c r="AA53" s="15">
        <f t="shared" si="44"/>
        <v>0</v>
      </c>
      <c r="AB53" s="15">
        <f t="shared" si="40"/>
        <v>0</v>
      </c>
      <c r="AC53" s="15">
        <f t="shared" si="45"/>
        <v>12</v>
      </c>
      <c r="AD53" s="15">
        <f t="shared" si="46"/>
        <v>12</v>
      </c>
      <c r="AE53" s="226"/>
    </row>
    <row r="54" spans="1:31" ht="165.75" customHeight="1" x14ac:dyDescent="0.25">
      <c r="A54" s="188"/>
      <c r="B54" s="185"/>
      <c r="C54" s="195"/>
      <c r="D54" s="182"/>
      <c r="E54" s="195"/>
      <c r="F54" s="182"/>
      <c r="G54" s="36">
        <v>12</v>
      </c>
      <c r="H54" s="60" t="s">
        <v>143</v>
      </c>
      <c r="I54" s="182"/>
      <c r="J54" s="15"/>
      <c r="K54" s="15"/>
      <c r="L54" s="15"/>
      <c r="M54" s="15"/>
      <c r="N54" s="15"/>
      <c r="O54" s="15">
        <v>1</v>
      </c>
      <c r="P54" s="210"/>
      <c r="Q54" s="15">
        <v>0</v>
      </c>
      <c r="R54" s="15">
        <f t="shared" si="47"/>
        <v>0.70000000000000007</v>
      </c>
      <c r="S54" s="15">
        <f t="shared" si="48"/>
        <v>1.4000000000000001</v>
      </c>
      <c r="T54" s="15">
        <f t="shared" si="49"/>
        <v>2.1</v>
      </c>
      <c r="U54" s="15">
        <f t="shared" si="50"/>
        <v>4.2</v>
      </c>
      <c r="V54" s="15">
        <f t="shared" si="51"/>
        <v>7</v>
      </c>
      <c r="W54" s="13"/>
      <c r="X54" s="15">
        <f t="shared" si="41"/>
        <v>0</v>
      </c>
      <c r="Y54" s="15">
        <f t="shared" si="42"/>
        <v>0</v>
      </c>
      <c r="Z54" s="15">
        <f t="shared" si="43"/>
        <v>0</v>
      </c>
      <c r="AA54" s="15">
        <f t="shared" si="44"/>
        <v>0</v>
      </c>
      <c r="AB54" s="15">
        <f t="shared" si="40"/>
        <v>0</v>
      </c>
      <c r="AC54" s="15">
        <f t="shared" si="45"/>
        <v>7</v>
      </c>
      <c r="AD54" s="15">
        <f t="shared" si="46"/>
        <v>7</v>
      </c>
      <c r="AE54" s="226"/>
    </row>
    <row r="55" spans="1:31" ht="111.75" customHeight="1" x14ac:dyDescent="0.25">
      <c r="A55" s="188"/>
      <c r="B55" s="185"/>
      <c r="C55" s="195"/>
      <c r="D55" s="182"/>
      <c r="E55" s="195"/>
      <c r="F55" s="182"/>
      <c r="G55" s="36">
        <v>13</v>
      </c>
      <c r="H55" s="60" t="s">
        <v>144</v>
      </c>
      <c r="I55" s="182"/>
      <c r="J55" s="15"/>
      <c r="K55" s="15"/>
      <c r="L55" s="15"/>
      <c r="M55" s="15"/>
      <c r="N55" s="15"/>
      <c r="O55" s="15">
        <v>1</v>
      </c>
      <c r="P55" s="210"/>
      <c r="Q55" s="15">
        <v>0</v>
      </c>
      <c r="R55" s="15">
        <f t="shared" si="47"/>
        <v>0.70000000000000007</v>
      </c>
      <c r="S55" s="15">
        <f t="shared" si="48"/>
        <v>1.4000000000000001</v>
      </c>
      <c r="T55" s="15">
        <f t="shared" si="49"/>
        <v>2.1</v>
      </c>
      <c r="U55" s="15">
        <f t="shared" si="50"/>
        <v>4.2</v>
      </c>
      <c r="V55" s="15">
        <f t="shared" si="51"/>
        <v>7</v>
      </c>
      <c r="W55" s="13"/>
      <c r="X55" s="15">
        <f t="shared" si="41"/>
        <v>0</v>
      </c>
      <c r="Y55" s="15">
        <f t="shared" si="42"/>
        <v>0</v>
      </c>
      <c r="Z55" s="15">
        <f t="shared" si="43"/>
        <v>0</v>
      </c>
      <c r="AA55" s="15">
        <f t="shared" si="44"/>
        <v>0</v>
      </c>
      <c r="AB55" s="15">
        <f t="shared" si="40"/>
        <v>0</v>
      </c>
      <c r="AC55" s="15">
        <f t="shared" si="45"/>
        <v>7</v>
      </c>
      <c r="AD55" s="15">
        <f t="shared" si="46"/>
        <v>7</v>
      </c>
      <c r="AE55" s="226"/>
    </row>
    <row r="56" spans="1:31" ht="109.5" customHeight="1" x14ac:dyDescent="0.25">
      <c r="A56" s="188"/>
      <c r="B56" s="185"/>
      <c r="C56" s="195"/>
      <c r="D56" s="182"/>
      <c r="E56" s="195"/>
      <c r="F56" s="182"/>
      <c r="G56" s="36">
        <v>14</v>
      </c>
      <c r="H56" s="60" t="s">
        <v>145</v>
      </c>
      <c r="I56" s="182"/>
      <c r="J56" s="15"/>
      <c r="K56" s="15"/>
      <c r="L56" s="15"/>
      <c r="M56" s="15"/>
      <c r="N56" s="15"/>
      <c r="O56" s="15">
        <v>1</v>
      </c>
      <c r="P56" s="54"/>
      <c r="Q56" s="15">
        <v>0</v>
      </c>
      <c r="R56" s="15">
        <f t="shared" si="47"/>
        <v>0.70000000000000007</v>
      </c>
      <c r="S56" s="15">
        <f t="shared" si="48"/>
        <v>1.4000000000000001</v>
      </c>
      <c r="T56" s="15">
        <f t="shared" si="49"/>
        <v>2.1</v>
      </c>
      <c r="U56" s="15">
        <f t="shared" si="50"/>
        <v>4.2</v>
      </c>
      <c r="V56" s="15">
        <f t="shared" si="51"/>
        <v>7</v>
      </c>
      <c r="W56" s="13"/>
      <c r="X56" s="15">
        <f t="shared" si="41"/>
        <v>0</v>
      </c>
      <c r="Y56" s="15">
        <f t="shared" si="42"/>
        <v>0</v>
      </c>
      <c r="Z56" s="15">
        <f t="shared" si="43"/>
        <v>0</v>
      </c>
      <c r="AA56" s="15">
        <f t="shared" si="44"/>
        <v>0</v>
      </c>
      <c r="AB56" s="15">
        <f t="shared" si="40"/>
        <v>0</v>
      </c>
      <c r="AC56" s="15">
        <f t="shared" si="45"/>
        <v>7</v>
      </c>
      <c r="AD56" s="15">
        <f t="shared" si="46"/>
        <v>7</v>
      </c>
      <c r="AE56" s="226"/>
    </row>
    <row r="57" spans="1:31" ht="104.25" customHeight="1" x14ac:dyDescent="0.25">
      <c r="A57" s="188"/>
      <c r="B57" s="185"/>
      <c r="C57" s="18"/>
      <c r="D57" s="37" t="s">
        <v>27</v>
      </c>
      <c r="E57" s="36"/>
      <c r="F57" s="37" t="s">
        <v>146</v>
      </c>
      <c r="G57" s="36">
        <v>15</v>
      </c>
      <c r="H57" s="60" t="s">
        <v>147</v>
      </c>
      <c r="I57" s="37" t="s">
        <v>300</v>
      </c>
      <c r="J57" s="15"/>
      <c r="K57" s="15"/>
      <c r="L57" s="15"/>
      <c r="M57" s="15"/>
      <c r="N57" s="15"/>
      <c r="O57" s="15">
        <v>1</v>
      </c>
      <c r="P57" s="210"/>
      <c r="Q57" s="15">
        <v>0</v>
      </c>
      <c r="R57" s="15">
        <f>10*0.1</f>
        <v>1</v>
      </c>
      <c r="S57" s="15">
        <f>10*0.2</f>
        <v>2</v>
      </c>
      <c r="T57" s="15">
        <f>10*0.3</f>
        <v>3</v>
      </c>
      <c r="U57" s="15">
        <f>10*0.6</f>
        <v>6</v>
      </c>
      <c r="V57" s="15">
        <f>10*1</f>
        <v>10</v>
      </c>
      <c r="W57" s="13"/>
      <c r="X57" s="15">
        <f t="shared" si="41"/>
        <v>0</v>
      </c>
      <c r="Y57" s="15">
        <f t="shared" si="42"/>
        <v>0</v>
      </c>
      <c r="Z57" s="15">
        <f t="shared" si="43"/>
        <v>0</v>
      </c>
      <c r="AA57" s="15">
        <f t="shared" si="44"/>
        <v>0</v>
      </c>
      <c r="AB57" s="15">
        <f t="shared" si="40"/>
        <v>0</v>
      </c>
      <c r="AC57" s="15">
        <f t="shared" si="45"/>
        <v>10</v>
      </c>
      <c r="AD57" s="15">
        <f t="shared" si="46"/>
        <v>10</v>
      </c>
      <c r="AE57" s="226"/>
    </row>
    <row r="58" spans="1:31" ht="56.25" customHeight="1" x14ac:dyDescent="0.25">
      <c r="A58" s="188"/>
      <c r="B58" s="185"/>
      <c r="C58" s="194"/>
      <c r="D58" s="181" t="s">
        <v>28</v>
      </c>
      <c r="E58" s="194"/>
      <c r="F58" s="181" t="s">
        <v>148</v>
      </c>
      <c r="G58" s="36">
        <v>16</v>
      </c>
      <c r="H58" s="60" t="s">
        <v>256</v>
      </c>
      <c r="I58" s="180" t="s">
        <v>301</v>
      </c>
      <c r="J58" s="15"/>
      <c r="K58" s="15"/>
      <c r="L58" s="15"/>
      <c r="M58" s="15"/>
      <c r="N58" s="15"/>
      <c r="O58" s="15">
        <v>1</v>
      </c>
      <c r="P58" s="210"/>
      <c r="Q58" s="15">
        <v>0</v>
      </c>
      <c r="R58" s="15">
        <f>10*0.1</f>
        <v>1</v>
      </c>
      <c r="S58" s="15">
        <f>10*0.2</f>
        <v>2</v>
      </c>
      <c r="T58" s="15">
        <f>10*0.3</f>
        <v>3</v>
      </c>
      <c r="U58" s="15">
        <f>10*0.6</f>
        <v>6</v>
      </c>
      <c r="V58" s="15">
        <f>10*1</f>
        <v>10</v>
      </c>
      <c r="W58" s="13"/>
      <c r="X58" s="15">
        <f t="shared" ref="X58" si="52">J58*Q58</f>
        <v>0</v>
      </c>
      <c r="Y58" s="15">
        <f t="shared" ref="Y58" si="53">K58*R58</f>
        <v>0</v>
      </c>
      <c r="Z58" s="15">
        <f t="shared" ref="Z58" si="54">L58*S58</f>
        <v>0</v>
      </c>
      <c r="AA58" s="15">
        <f t="shared" ref="AA58" si="55">M58*T58</f>
        <v>0</v>
      </c>
      <c r="AB58" s="15">
        <f t="shared" ref="AB58" si="56">N58*U58</f>
        <v>0</v>
      </c>
      <c r="AC58" s="15">
        <f t="shared" si="45"/>
        <v>10</v>
      </c>
      <c r="AD58" s="15">
        <f t="shared" si="46"/>
        <v>10</v>
      </c>
      <c r="AE58" s="226"/>
    </row>
    <row r="59" spans="1:31" ht="96" x14ac:dyDescent="0.25">
      <c r="A59" s="189"/>
      <c r="B59" s="186"/>
      <c r="C59" s="196"/>
      <c r="D59" s="183"/>
      <c r="E59" s="196"/>
      <c r="F59" s="183"/>
      <c r="G59" s="36">
        <v>17</v>
      </c>
      <c r="H59" s="60" t="s">
        <v>149</v>
      </c>
      <c r="I59" s="180"/>
      <c r="J59" s="15"/>
      <c r="K59" s="15"/>
      <c r="L59" s="15"/>
      <c r="M59" s="15"/>
      <c r="N59" s="15"/>
      <c r="O59" s="15">
        <v>1</v>
      </c>
      <c r="P59" s="210"/>
      <c r="Q59" s="15">
        <v>0</v>
      </c>
      <c r="R59" s="15">
        <f t="shared" ref="R59" si="57">7*0.1</f>
        <v>0.70000000000000007</v>
      </c>
      <c r="S59" s="15">
        <f t="shared" ref="S59" si="58">7*0.2</f>
        <v>1.4000000000000001</v>
      </c>
      <c r="T59" s="15">
        <f t="shared" ref="T59" si="59">7*0.3</f>
        <v>2.1</v>
      </c>
      <c r="U59" s="15">
        <f t="shared" ref="U59" si="60">7*0.6</f>
        <v>4.2</v>
      </c>
      <c r="V59" s="15">
        <f t="shared" ref="V59" si="61">7*1</f>
        <v>7</v>
      </c>
      <c r="W59" s="13"/>
      <c r="X59" s="15">
        <f t="shared" si="41"/>
        <v>0</v>
      </c>
      <c r="Y59" s="15">
        <f t="shared" si="42"/>
        <v>0</v>
      </c>
      <c r="Z59" s="15">
        <f t="shared" si="43"/>
        <v>0</v>
      </c>
      <c r="AA59" s="15">
        <f t="shared" si="44"/>
        <v>0</v>
      </c>
      <c r="AB59" s="15">
        <f t="shared" si="40"/>
        <v>0</v>
      </c>
      <c r="AC59" s="15">
        <f t="shared" si="45"/>
        <v>7</v>
      </c>
      <c r="AD59" s="15">
        <f t="shared" si="46"/>
        <v>7</v>
      </c>
      <c r="AE59" s="226"/>
    </row>
    <row r="60" spans="1:31" ht="69.75" customHeight="1" x14ac:dyDescent="0.25">
      <c r="A60" s="187">
        <v>3</v>
      </c>
      <c r="B60" s="184" t="s">
        <v>29</v>
      </c>
      <c r="C60" s="194"/>
      <c r="D60" s="181" t="s">
        <v>30</v>
      </c>
      <c r="E60" s="194"/>
      <c r="F60" s="202" t="s">
        <v>150</v>
      </c>
      <c r="G60" s="36">
        <v>1</v>
      </c>
      <c r="H60" s="60" t="s">
        <v>150</v>
      </c>
      <c r="I60" s="180" t="s">
        <v>302</v>
      </c>
      <c r="J60" s="15"/>
      <c r="K60" s="15"/>
      <c r="L60" s="15"/>
      <c r="M60" s="15"/>
      <c r="N60" s="15"/>
      <c r="O60" s="15">
        <v>1</v>
      </c>
      <c r="P60" s="210"/>
      <c r="Q60" s="15">
        <v>0</v>
      </c>
      <c r="R60" s="15">
        <f>12*0.1</f>
        <v>1.2000000000000002</v>
      </c>
      <c r="S60" s="15">
        <f>12*0.2</f>
        <v>2.4000000000000004</v>
      </c>
      <c r="T60" s="15">
        <f>12*0.3</f>
        <v>3.5999999999999996</v>
      </c>
      <c r="U60" s="15">
        <f>12*0.6</f>
        <v>7.1999999999999993</v>
      </c>
      <c r="V60" s="15">
        <f>12*1</f>
        <v>12</v>
      </c>
      <c r="W60" s="13"/>
      <c r="X60" s="15">
        <f t="shared" si="41"/>
        <v>0</v>
      </c>
      <c r="Y60" s="15">
        <f t="shared" si="42"/>
        <v>0</v>
      </c>
      <c r="Z60" s="15">
        <f t="shared" si="43"/>
        <v>0</v>
      </c>
      <c r="AA60" s="15">
        <f t="shared" si="44"/>
        <v>0</v>
      </c>
      <c r="AB60" s="15">
        <f t="shared" si="40"/>
        <v>0</v>
      </c>
      <c r="AC60" s="15">
        <f t="shared" si="45"/>
        <v>12</v>
      </c>
      <c r="AD60" s="15">
        <f t="shared" si="46"/>
        <v>12</v>
      </c>
      <c r="AE60" s="226">
        <f>SUM(AD60:AD88)</f>
        <v>350</v>
      </c>
    </row>
    <row r="61" spans="1:31" ht="84" customHeight="1" x14ac:dyDescent="0.25">
      <c r="A61" s="188"/>
      <c r="B61" s="185"/>
      <c r="C61" s="196"/>
      <c r="D61" s="183"/>
      <c r="E61" s="196"/>
      <c r="F61" s="203"/>
      <c r="G61" s="36">
        <v>2</v>
      </c>
      <c r="H61" s="60" t="s">
        <v>151</v>
      </c>
      <c r="I61" s="180"/>
      <c r="J61" s="15"/>
      <c r="K61" s="15"/>
      <c r="L61" s="15"/>
      <c r="M61" s="15"/>
      <c r="N61" s="15"/>
      <c r="O61" s="15">
        <v>1</v>
      </c>
      <c r="P61" s="210"/>
      <c r="Q61" s="15">
        <v>0</v>
      </c>
      <c r="R61" s="15">
        <f t="shared" ref="R61:R75" si="62">12*0.1</f>
        <v>1.2000000000000002</v>
      </c>
      <c r="S61" s="15">
        <f t="shared" ref="S61:S75" si="63">12*0.2</f>
        <v>2.4000000000000004</v>
      </c>
      <c r="T61" s="15">
        <f t="shared" ref="T61:T75" si="64">12*0.3</f>
        <v>3.5999999999999996</v>
      </c>
      <c r="U61" s="15">
        <f t="shared" ref="U61:U75" si="65">12*0.6</f>
        <v>7.1999999999999993</v>
      </c>
      <c r="V61" s="15">
        <f t="shared" ref="V61:V75" si="66">12*1</f>
        <v>12</v>
      </c>
      <c r="W61" s="13"/>
      <c r="X61" s="15">
        <f t="shared" si="41"/>
        <v>0</v>
      </c>
      <c r="Y61" s="15">
        <f t="shared" si="42"/>
        <v>0</v>
      </c>
      <c r="Z61" s="15">
        <f t="shared" si="43"/>
        <v>0</v>
      </c>
      <c r="AA61" s="15">
        <f t="shared" si="44"/>
        <v>0</v>
      </c>
      <c r="AB61" s="15">
        <f t="shared" ref="AB61:AB92" si="67">N61*U61</f>
        <v>0</v>
      </c>
      <c r="AC61" s="15">
        <f t="shared" si="45"/>
        <v>12</v>
      </c>
      <c r="AD61" s="15">
        <f t="shared" si="46"/>
        <v>12</v>
      </c>
      <c r="AE61" s="226"/>
    </row>
    <row r="62" spans="1:31" ht="129" customHeight="1" x14ac:dyDescent="0.25">
      <c r="A62" s="188"/>
      <c r="B62" s="185"/>
      <c r="C62" s="194"/>
      <c r="D62" s="181" t="s">
        <v>31</v>
      </c>
      <c r="E62" s="194"/>
      <c r="F62" s="202" t="s">
        <v>152</v>
      </c>
      <c r="G62" s="36">
        <v>3</v>
      </c>
      <c r="H62" s="60" t="s">
        <v>153</v>
      </c>
      <c r="I62" s="180" t="s">
        <v>345</v>
      </c>
      <c r="J62" s="15"/>
      <c r="K62" s="15"/>
      <c r="L62" s="15"/>
      <c r="M62" s="15"/>
      <c r="N62" s="15"/>
      <c r="O62" s="15">
        <v>1</v>
      </c>
      <c r="P62" s="210"/>
      <c r="Q62" s="15">
        <v>0</v>
      </c>
      <c r="R62" s="15">
        <f t="shared" si="62"/>
        <v>1.2000000000000002</v>
      </c>
      <c r="S62" s="15">
        <f t="shared" si="63"/>
        <v>2.4000000000000004</v>
      </c>
      <c r="T62" s="15">
        <f t="shared" si="64"/>
        <v>3.5999999999999996</v>
      </c>
      <c r="U62" s="15">
        <f t="shared" si="65"/>
        <v>7.1999999999999993</v>
      </c>
      <c r="V62" s="15">
        <f t="shared" si="66"/>
        <v>12</v>
      </c>
      <c r="W62" s="13"/>
      <c r="X62" s="15">
        <f t="shared" ref="X62:X93" si="68">J62*Q62</f>
        <v>0</v>
      </c>
      <c r="Y62" s="15">
        <f t="shared" ref="Y62:Y93" si="69">K62*R62</f>
        <v>0</v>
      </c>
      <c r="Z62" s="15">
        <f t="shared" ref="Z62:Z93" si="70">L62*S62</f>
        <v>0</v>
      </c>
      <c r="AA62" s="15">
        <f t="shared" ref="AA62:AA93" si="71">M62*T62</f>
        <v>0</v>
      </c>
      <c r="AB62" s="15">
        <f t="shared" si="67"/>
        <v>0</v>
      </c>
      <c r="AC62" s="15">
        <f t="shared" ref="AC62:AC93" si="72">O62*V62</f>
        <v>12</v>
      </c>
      <c r="AD62" s="15">
        <f t="shared" si="46"/>
        <v>12</v>
      </c>
      <c r="AE62" s="226"/>
    </row>
    <row r="63" spans="1:31" ht="72.75" customHeight="1" x14ac:dyDescent="0.25">
      <c r="A63" s="188"/>
      <c r="B63" s="185"/>
      <c r="C63" s="195"/>
      <c r="D63" s="182"/>
      <c r="E63" s="195"/>
      <c r="F63" s="204"/>
      <c r="G63" s="36">
        <v>4</v>
      </c>
      <c r="H63" s="60" t="s">
        <v>154</v>
      </c>
      <c r="I63" s="180"/>
      <c r="J63" s="15"/>
      <c r="K63" s="15"/>
      <c r="L63" s="15"/>
      <c r="M63" s="15"/>
      <c r="N63" s="15"/>
      <c r="O63" s="15">
        <v>1</v>
      </c>
      <c r="P63" s="210"/>
      <c r="Q63" s="15">
        <v>0</v>
      </c>
      <c r="R63" s="15">
        <f t="shared" si="62"/>
        <v>1.2000000000000002</v>
      </c>
      <c r="S63" s="15">
        <f t="shared" si="63"/>
        <v>2.4000000000000004</v>
      </c>
      <c r="T63" s="15">
        <f t="shared" si="64"/>
        <v>3.5999999999999996</v>
      </c>
      <c r="U63" s="15">
        <f t="shared" si="65"/>
        <v>7.1999999999999993</v>
      </c>
      <c r="V63" s="15">
        <f t="shared" si="66"/>
        <v>12</v>
      </c>
      <c r="W63" s="13"/>
      <c r="X63" s="15">
        <f t="shared" si="68"/>
        <v>0</v>
      </c>
      <c r="Y63" s="15">
        <f t="shared" si="69"/>
        <v>0</v>
      </c>
      <c r="Z63" s="15">
        <f t="shared" si="70"/>
        <v>0</v>
      </c>
      <c r="AA63" s="15">
        <f t="shared" si="71"/>
        <v>0</v>
      </c>
      <c r="AB63" s="15">
        <f t="shared" si="67"/>
        <v>0</v>
      </c>
      <c r="AC63" s="15">
        <f t="shared" si="72"/>
        <v>12</v>
      </c>
      <c r="AD63" s="15">
        <f t="shared" si="46"/>
        <v>12</v>
      </c>
      <c r="AE63" s="226"/>
    </row>
    <row r="64" spans="1:31" ht="84" customHeight="1" x14ac:dyDescent="0.25">
      <c r="A64" s="188"/>
      <c r="B64" s="185"/>
      <c r="C64" s="195"/>
      <c r="D64" s="182"/>
      <c r="E64" s="195"/>
      <c r="F64" s="204"/>
      <c r="G64" s="36">
        <v>5</v>
      </c>
      <c r="H64" s="60" t="s">
        <v>155</v>
      </c>
      <c r="I64" s="180"/>
      <c r="J64" s="15"/>
      <c r="K64" s="15"/>
      <c r="L64" s="15"/>
      <c r="M64" s="15"/>
      <c r="N64" s="15"/>
      <c r="O64" s="15">
        <v>1</v>
      </c>
      <c r="P64" s="210"/>
      <c r="Q64" s="15">
        <v>0</v>
      </c>
      <c r="R64" s="15">
        <f t="shared" si="62"/>
        <v>1.2000000000000002</v>
      </c>
      <c r="S64" s="15">
        <f t="shared" si="63"/>
        <v>2.4000000000000004</v>
      </c>
      <c r="T64" s="15">
        <f t="shared" si="64"/>
        <v>3.5999999999999996</v>
      </c>
      <c r="U64" s="15">
        <f t="shared" si="65"/>
        <v>7.1999999999999993</v>
      </c>
      <c r="V64" s="15">
        <f t="shared" si="66"/>
        <v>12</v>
      </c>
      <c r="W64" s="13"/>
      <c r="X64" s="15">
        <f t="shared" si="68"/>
        <v>0</v>
      </c>
      <c r="Y64" s="15">
        <f t="shared" si="69"/>
        <v>0</v>
      </c>
      <c r="Z64" s="15">
        <f t="shared" si="70"/>
        <v>0</v>
      </c>
      <c r="AA64" s="15">
        <f t="shared" si="71"/>
        <v>0</v>
      </c>
      <c r="AB64" s="15">
        <f t="shared" si="67"/>
        <v>0</v>
      </c>
      <c r="AC64" s="15">
        <f t="shared" si="72"/>
        <v>12</v>
      </c>
      <c r="AD64" s="15">
        <f>X64+Y64+Z64+AA64+AB64+AC64</f>
        <v>12</v>
      </c>
      <c r="AE64" s="226"/>
    </row>
    <row r="65" spans="1:31" ht="54.75" customHeight="1" x14ac:dyDescent="0.25">
      <c r="A65" s="188"/>
      <c r="B65" s="185"/>
      <c r="C65" s="195"/>
      <c r="D65" s="182"/>
      <c r="E65" s="195"/>
      <c r="F65" s="204"/>
      <c r="G65" s="36">
        <v>6</v>
      </c>
      <c r="H65" s="60" t="s">
        <v>156</v>
      </c>
      <c r="I65" s="180"/>
      <c r="J65" s="15"/>
      <c r="K65" s="15"/>
      <c r="L65" s="15"/>
      <c r="M65" s="15"/>
      <c r="N65" s="15"/>
      <c r="O65" s="15">
        <v>1</v>
      </c>
      <c r="P65" s="210"/>
      <c r="Q65" s="15">
        <v>0</v>
      </c>
      <c r="R65" s="15">
        <f t="shared" si="62"/>
        <v>1.2000000000000002</v>
      </c>
      <c r="S65" s="15">
        <f t="shared" si="63"/>
        <v>2.4000000000000004</v>
      </c>
      <c r="T65" s="15">
        <f t="shared" si="64"/>
        <v>3.5999999999999996</v>
      </c>
      <c r="U65" s="15">
        <f t="shared" si="65"/>
        <v>7.1999999999999993</v>
      </c>
      <c r="V65" s="15">
        <f t="shared" si="66"/>
        <v>12</v>
      </c>
      <c r="W65" s="13"/>
      <c r="X65" s="15">
        <f t="shared" si="68"/>
        <v>0</v>
      </c>
      <c r="Y65" s="15">
        <f t="shared" si="69"/>
        <v>0</v>
      </c>
      <c r="Z65" s="15">
        <f t="shared" si="70"/>
        <v>0</v>
      </c>
      <c r="AA65" s="15">
        <f t="shared" si="71"/>
        <v>0</v>
      </c>
      <c r="AB65" s="15">
        <f t="shared" si="67"/>
        <v>0</v>
      </c>
      <c r="AC65" s="15">
        <f t="shared" si="72"/>
        <v>12</v>
      </c>
      <c r="AD65" s="15">
        <f t="shared" ref="AD65:AD153" si="73">X65+Y65+Z65+AA65+AB65+AC65</f>
        <v>12</v>
      </c>
      <c r="AE65" s="226"/>
    </row>
    <row r="66" spans="1:31" ht="57.75" customHeight="1" x14ac:dyDescent="0.25">
      <c r="A66" s="188"/>
      <c r="B66" s="185"/>
      <c r="C66" s="195"/>
      <c r="D66" s="182"/>
      <c r="E66" s="195"/>
      <c r="F66" s="204"/>
      <c r="G66" s="36">
        <v>7</v>
      </c>
      <c r="H66" s="60" t="s">
        <v>157</v>
      </c>
      <c r="I66" s="180"/>
      <c r="J66" s="15"/>
      <c r="K66" s="15"/>
      <c r="L66" s="15"/>
      <c r="M66" s="15"/>
      <c r="N66" s="15"/>
      <c r="O66" s="15">
        <v>1</v>
      </c>
      <c r="P66" s="210"/>
      <c r="Q66" s="15">
        <v>0</v>
      </c>
      <c r="R66" s="15">
        <f t="shared" si="62"/>
        <v>1.2000000000000002</v>
      </c>
      <c r="S66" s="15">
        <f t="shared" si="63"/>
        <v>2.4000000000000004</v>
      </c>
      <c r="T66" s="15">
        <f t="shared" si="64"/>
        <v>3.5999999999999996</v>
      </c>
      <c r="U66" s="15">
        <f t="shared" si="65"/>
        <v>7.1999999999999993</v>
      </c>
      <c r="V66" s="15">
        <f t="shared" si="66"/>
        <v>12</v>
      </c>
      <c r="W66" s="13"/>
      <c r="X66" s="15">
        <f t="shared" si="68"/>
        <v>0</v>
      </c>
      <c r="Y66" s="15">
        <f t="shared" si="69"/>
        <v>0</v>
      </c>
      <c r="Z66" s="15">
        <f t="shared" si="70"/>
        <v>0</v>
      </c>
      <c r="AA66" s="15">
        <f t="shared" si="71"/>
        <v>0</v>
      </c>
      <c r="AB66" s="15">
        <f t="shared" si="67"/>
        <v>0</v>
      </c>
      <c r="AC66" s="15">
        <f t="shared" si="72"/>
        <v>12</v>
      </c>
      <c r="AD66" s="15">
        <f t="shared" si="73"/>
        <v>12</v>
      </c>
      <c r="AE66" s="226"/>
    </row>
    <row r="67" spans="1:31" ht="42.75" customHeight="1" x14ac:dyDescent="0.25">
      <c r="A67" s="188"/>
      <c r="B67" s="185"/>
      <c r="C67" s="195"/>
      <c r="D67" s="182"/>
      <c r="E67" s="195"/>
      <c r="F67" s="204"/>
      <c r="G67" s="36">
        <v>8</v>
      </c>
      <c r="H67" s="60" t="s">
        <v>158</v>
      </c>
      <c r="I67" s="180"/>
      <c r="J67" s="15"/>
      <c r="K67" s="15"/>
      <c r="L67" s="15"/>
      <c r="M67" s="15"/>
      <c r="N67" s="15"/>
      <c r="O67" s="15">
        <v>1</v>
      </c>
      <c r="P67" s="210"/>
      <c r="Q67" s="104">
        <v>0</v>
      </c>
      <c r="R67" s="15">
        <f>14*0.1</f>
        <v>1.4000000000000001</v>
      </c>
      <c r="S67" s="15">
        <f>14*0.2</f>
        <v>2.8000000000000003</v>
      </c>
      <c r="T67" s="15">
        <f>14*0.3</f>
        <v>4.2</v>
      </c>
      <c r="U67" s="15">
        <f>14*0.6</f>
        <v>8.4</v>
      </c>
      <c r="V67" s="15">
        <f>14*1</f>
        <v>14</v>
      </c>
      <c r="W67" s="13"/>
      <c r="X67" s="15">
        <f t="shared" si="68"/>
        <v>0</v>
      </c>
      <c r="Y67" s="15">
        <f t="shared" si="69"/>
        <v>0</v>
      </c>
      <c r="Z67" s="15">
        <f t="shared" si="70"/>
        <v>0</v>
      </c>
      <c r="AA67" s="15">
        <f t="shared" si="71"/>
        <v>0</v>
      </c>
      <c r="AB67" s="15">
        <f t="shared" si="67"/>
        <v>0</v>
      </c>
      <c r="AC67" s="15">
        <f t="shared" si="72"/>
        <v>14</v>
      </c>
      <c r="AD67" s="15">
        <f t="shared" si="73"/>
        <v>14</v>
      </c>
      <c r="AE67" s="226"/>
    </row>
    <row r="68" spans="1:31" ht="88.5" customHeight="1" x14ac:dyDescent="0.25">
      <c r="A68" s="188"/>
      <c r="B68" s="185"/>
      <c r="C68" s="195"/>
      <c r="D68" s="182"/>
      <c r="E68" s="195"/>
      <c r="F68" s="204"/>
      <c r="G68" s="36">
        <v>9</v>
      </c>
      <c r="H68" s="60" t="s">
        <v>355</v>
      </c>
      <c r="I68" s="180"/>
      <c r="J68" s="15"/>
      <c r="K68" s="15"/>
      <c r="L68" s="15"/>
      <c r="M68" s="15"/>
      <c r="N68" s="15"/>
      <c r="O68" s="15">
        <v>1</v>
      </c>
      <c r="P68" s="210"/>
      <c r="Q68" s="15">
        <v>0</v>
      </c>
      <c r="R68" s="15">
        <f t="shared" si="62"/>
        <v>1.2000000000000002</v>
      </c>
      <c r="S68" s="15">
        <f t="shared" si="63"/>
        <v>2.4000000000000004</v>
      </c>
      <c r="T68" s="15">
        <f t="shared" si="64"/>
        <v>3.5999999999999996</v>
      </c>
      <c r="U68" s="15">
        <f t="shared" si="65"/>
        <v>7.1999999999999993</v>
      </c>
      <c r="V68" s="15">
        <f t="shared" si="66"/>
        <v>12</v>
      </c>
      <c r="W68" s="13"/>
      <c r="X68" s="15">
        <f t="shared" si="68"/>
        <v>0</v>
      </c>
      <c r="Y68" s="15">
        <f t="shared" si="69"/>
        <v>0</v>
      </c>
      <c r="Z68" s="15">
        <f t="shared" si="70"/>
        <v>0</v>
      </c>
      <c r="AA68" s="15">
        <f t="shared" si="71"/>
        <v>0</v>
      </c>
      <c r="AB68" s="15">
        <f t="shared" si="67"/>
        <v>0</v>
      </c>
      <c r="AC68" s="15">
        <f t="shared" si="72"/>
        <v>12</v>
      </c>
      <c r="AD68" s="15">
        <f t="shared" si="73"/>
        <v>12</v>
      </c>
      <c r="AE68" s="226"/>
    </row>
    <row r="69" spans="1:31" ht="84" customHeight="1" x14ac:dyDescent="0.25">
      <c r="A69" s="188"/>
      <c r="B69" s="185"/>
      <c r="C69" s="196"/>
      <c r="D69" s="183"/>
      <c r="E69" s="196"/>
      <c r="F69" s="203"/>
      <c r="G69" s="36">
        <v>10</v>
      </c>
      <c r="H69" s="60" t="s">
        <v>159</v>
      </c>
      <c r="I69" s="180"/>
      <c r="J69" s="15"/>
      <c r="K69" s="15"/>
      <c r="L69" s="15"/>
      <c r="M69" s="15"/>
      <c r="N69" s="15"/>
      <c r="O69" s="15">
        <v>1</v>
      </c>
      <c r="P69" s="210"/>
      <c r="Q69" s="15">
        <v>0</v>
      </c>
      <c r="R69" s="15">
        <f t="shared" si="62"/>
        <v>1.2000000000000002</v>
      </c>
      <c r="S69" s="15">
        <f t="shared" si="63"/>
        <v>2.4000000000000004</v>
      </c>
      <c r="T69" s="15">
        <f t="shared" si="64"/>
        <v>3.5999999999999996</v>
      </c>
      <c r="U69" s="15">
        <f t="shared" si="65"/>
        <v>7.1999999999999993</v>
      </c>
      <c r="V69" s="15">
        <f t="shared" si="66"/>
        <v>12</v>
      </c>
      <c r="W69" s="13"/>
      <c r="X69" s="15">
        <f t="shared" si="68"/>
        <v>0</v>
      </c>
      <c r="Y69" s="15">
        <f t="shared" si="69"/>
        <v>0</v>
      </c>
      <c r="Z69" s="15">
        <f t="shared" si="70"/>
        <v>0</v>
      </c>
      <c r="AA69" s="15">
        <f t="shared" si="71"/>
        <v>0</v>
      </c>
      <c r="AB69" s="15">
        <f t="shared" si="67"/>
        <v>0</v>
      </c>
      <c r="AC69" s="15">
        <f t="shared" si="72"/>
        <v>12</v>
      </c>
      <c r="AD69" s="15">
        <f t="shared" si="73"/>
        <v>12</v>
      </c>
      <c r="AE69" s="226"/>
    </row>
    <row r="70" spans="1:31" ht="73.5" customHeight="1" x14ac:dyDescent="0.25">
      <c r="A70" s="188"/>
      <c r="B70" s="185"/>
      <c r="C70" s="194"/>
      <c r="D70" s="181" t="s">
        <v>32</v>
      </c>
      <c r="E70" s="194"/>
      <c r="F70" s="202" t="s">
        <v>160</v>
      </c>
      <c r="G70" s="36">
        <v>11</v>
      </c>
      <c r="H70" s="60" t="s">
        <v>356</v>
      </c>
      <c r="I70" s="180" t="s">
        <v>303</v>
      </c>
      <c r="J70" s="15"/>
      <c r="K70" s="15"/>
      <c r="L70" s="15"/>
      <c r="M70" s="15"/>
      <c r="N70" s="15"/>
      <c r="O70" s="15">
        <v>1</v>
      </c>
      <c r="P70" s="210"/>
      <c r="Q70" s="15">
        <v>0</v>
      </c>
      <c r="R70" s="15">
        <f t="shared" si="62"/>
        <v>1.2000000000000002</v>
      </c>
      <c r="S70" s="15">
        <f t="shared" si="63"/>
        <v>2.4000000000000004</v>
      </c>
      <c r="T70" s="15">
        <f t="shared" si="64"/>
        <v>3.5999999999999996</v>
      </c>
      <c r="U70" s="15">
        <f t="shared" si="65"/>
        <v>7.1999999999999993</v>
      </c>
      <c r="V70" s="15">
        <f t="shared" si="66"/>
        <v>12</v>
      </c>
      <c r="W70" s="13"/>
      <c r="X70" s="15">
        <f t="shared" si="68"/>
        <v>0</v>
      </c>
      <c r="Y70" s="15">
        <f t="shared" si="69"/>
        <v>0</v>
      </c>
      <c r="Z70" s="15">
        <f t="shared" si="70"/>
        <v>0</v>
      </c>
      <c r="AA70" s="15">
        <f t="shared" si="71"/>
        <v>0</v>
      </c>
      <c r="AB70" s="15">
        <f t="shared" si="67"/>
        <v>0</v>
      </c>
      <c r="AC70" s="15">
        <f t="shared" si="72"/>
        <v>12</v>
      </c>
      <c r="AD70" s="15">
        <f t="shared" si="73"/>
        <v>12</v>
      </c>
      <c r="AE70" s="226"/>
    </row>
    <row r="71" spans="1:31" ht="104.25" customHeight="1" x14ac:dyDescent="0.25">
      <c r="A71" s="188"/>
      <c r="B71" s="185"/>
      <c r="C71" s="195"/>
      <c r="D71" s="182"/>
      <c r="E71" s="195"/>
      <c r="F71" s="204"/>
      <c r="G71" s="36">
        <v>12</v>
      </c>
      <c r="H71" s="60" t="s">
        <v>161</v>
      </c>
      <c r="I71" s="180"/>
      <c r="J71" s="15"/>
      <c r="K71" s="15"/>
      <c r="L71" s="15"/>
      <c r="M71" s="15"/>
      <c r="N71" s="15"/>
      <c r="O71" s="15">
        <v>1</v>
      </c>
      <c r="P71" s="210"/>
      <c r="Q71" s="15">
        <v>0</v>
      </c>
      <c r="R71" s="15">
        <f t="shared" si="62"/>
        <v>1.2000000000000002</v>
      </c>
      <c r="S71" s="15">
        <f t="shared" si="63"/>
        <v>2.4000000000000004</v>
      </c>
      <c r="T71" s="15">
        <f t="shared" si="64"/>
        <v>3.5999999999999996</v>
      </c>
      <c r="U71" s="15">
        <f t="shared" si="65"/>
        <v>7.1999999999999993</v>
      </c>
      <c r="V71" s="15">
        <f t="shared" si="66"/>
        <v>12</v>
      </c>
      <c r="W71" s="13"/>
      <c r="X71" s="15">
        <f t="shared" si="68"/>
        <v>0</v>
      </c>
      <c r="Y71" s="15">
        <f t="shared" si="69"/>
        <v>0</v>
      </c>
      <c r="Z71" s="15">
        <f t="shared" si="70"/>
        <v>0</v>
      </c>
      <c r="AA71" s="15">
        <f t="shared" si="71"/>
        <v>0</v>
      </c>
      <c r="AB71" s="15">
        <f t="shared" si="67"/>
        <v>0</v>
      </c>
      <c r="AC71" s="15">
        <f t="shared" si="72"/>
        <v>12</v>
      </c>
      <c r="AD71" s="15">
        <f t="shared" si="73"/>
        <v>12</v>
      </c>
      <c r="AE71" s="226"/>
    </row>
    <row r="72" spans="1:31" ht="145.5" customHeight="1" x14ac:dyDescent="0.25">
      <c r="A72" s="188"/>
      <c r="B72" s="185"/>
      <c r="C72" s="196"/>
      <c r="D72" s="183"/>
      <c r="E72" s="196"/>
      <c r="F72" s="203"/>
      <c r="G72" s="36">
        <v>13</v>
      </c>
      <c r="H72" s="60" t="s">
        <v>162</v>
      </c>
      <c r="I72" s="180"/>
      <c r="J72" s="15"/>
      <c r="K72" s="15"/>
      <c r="L72" s="15"/>
      <c r="M72" s="15"/>
      <c r="N72" s="15"/>
      <c r="O72" s="15">
        <v>1</v>
      </c>
      <c r="P72" s="210"/>
      <c r="Q72" s="15">
        <v>0</v>
      </c>
      <c r="R72" s="15">
        <f t="shared" si="62"/>
        <v>1.2000000000000002</v>
      </c>
      <c r="S72" s="15">
        <f t="shared" si="63"/>
        <v>2.4000000000000004</v>
      </c>
      <c r="T72" s="15">
        <f t="shared" si="64"/>
        <v>3.5999999999999996</v>
      </c>
      <c r="U72" s="15">
        <f t="shared" si="65"/>
        <v>7.1999999999999993</v>
      </c>
      <c r="V72" s="15">
        <f t="shared" si="66"/>
        <v>12</v>
      </c>
      <c r="W72" s="13"/>
      <c r="X72" s="15">
        <f t="shared" si="68"/>
        <v>0</v>
      </c>
      <c r="Y72" s="15">
        <f t="shared" si="69"/>
        <v>0</v>
      </c>
      <c r="Z72" s="15">
        <f t="shared" si="70"/>
        <v>0</v>
      </c>
      <c r="AA72" s="15">
        <f t="shared" si="71"/>
        <v>0</v>
      </c>
      <c r="AB72" s="15">
        <f t="shared" si="67"/>
        <v>0</v>
      </c>
      <c r="AC72" s="15">
        <f t="shared" si="72"/>
        <v>12</v>
      </c>
      <c r="AD72" s="15">
        <f t="shared" si="73"/>
        <v>12</v>
      </c>
      <c r="AE72" s="226"/>
    </row>
    <row r="73" spans="1:31" ht="72" customHeight="1" x14ac:dyDescent="0.25">
      <c r="A73" s="188"/>
      <c r="B73" s="185"/>
      <c r="C73" s="18"/>
      <c r="D73" s="37" t="s">
        <v>33</v>
      </c>
      <c r="E73" s="36"/>
      <c r="F73" s="37" t="s">
        <v>55</v>
      </c>
      <c r="G73" s="36">
        <v>14</v>
      </c>
      <c r="H73" s="60" t="s">
        <v>163</v>
      </c>
      <c r="I73" s="37" t="s">
        <v>304</v>
      </c>
      <c r="J73" s="15"/>
      <c r="K73" s="15"/>
      <c r="L73" s="15"/>
      <c r="M73" s="15"/>
      <c r="N73" s="15"/>
      <c r="O73" s="15">
        <v>1</v>
      </c>
      <c r="P73" s="210"/>
      <c r="Q73" s="15">
        <v>0</v>
      </c>
      <c r="R73" s="15">
        <f>10*0.1</f>
        <v>1</v>
      </c>
      <c r="S73" s="15">
        <f>10*0.2</f>
        <v>2</v>
      </c>
      <c r="T73" s="15">
        <f>10*0.3</f>
        <v>3</v>
      </c>
      <c r="U73" s="15">
        <f>10*0.6</f>
        <v>6</v>
      </c>
      <c r="V73" s="15">
        <f>10*1</f>
        <v>10</v>
      </c>
      <c r="W73" s="13"/>
      <c r="X73" s="15">
        <f t="shared" si="68"/>
        <v>0</v>
      </c>
      <c r="Y73" s="15">
        <f t="shared" si="69"/>
        <v>0</v>
      </c>
      <c r="Z73" s="15">
        <f t="shared" si="70"/>
        <v>0</v>
      </c>
      <c r="AA73" s="15">
        <f t="shared" si="71"/>
        <v>0</v>
      </c>
      <c r="AB73" s="15">
        <f t="shared" si="67"/>
        <v>0</v>
      </c>
      <c r="AC73" s="15">
        <f t="shared" si="72"/>
        <v>10</v>
      </c>
      <c r="AD73" s="15">
        <f t="shared" si="73"/>
        <v>10</v>
      </c>
      <c r="AE73" s="226"/>
    </row>
    <row r="74" spans="1:31" ht="73.5" customHeight="1" x14ac:dyDescent="0.25">
      <c r="A74" s="188"/>
      <c r="B74" s="185"/>
      <c r="C74" s="194"/>
      <c r="D74" s="181" t="s">
        <v>34</v>
      </c>
      <c r="E74" s="194"/>
      <c r="F74" s="181" t="s">
        <v>164</v>
      </c>
      <c r="G74" s="36">
        <v>15</v>
      </c>
      <c r="H74" s="60" t="s">
        <v>165</v>
      </c>
      <c r="I74" s="180" t="s">
        <v>305</v>
      </c>
      <c r="J74" s="15"/>
      <c r="K74" s="15"/>
      <c r="L74" s="15"/>
      <c r="M74" s="15"/>
      <c r="N74" s="15"/>
      <c r="O74" s="15">
        <v>1</v>
      </c>
      <c r="P74" s="210"/>
      <c r="Q74" s="15">
        <v>0</v>
      </c>
      <c r="R74" s="15">
        <f t="shared" si="62"/>
        <v>1.2000000000000002</v>
      </c>
      <c r="S74" s="15">
        <f t="shared" si="63"/>
        <v>2.4000000000000004</v>
      </c>
      <c r="T74" s="15">
        <f t="shared" si="64"/>
        <v>3.5999999999999996</v>
      </c>
      <c r="U74" s="15">
        <f t="shared" si="65"/>
        <v>7.1999999999999993</v>
      </c>
      <c r="V74" s="15">
        <f t="shared" si="66"/>
        <v>12</v>
      </c>
      <c r="W74" s="13"/>
      <c r="X74" s="15">
        <f t="shared" si="68"/>
        <v>0</v>
      </c>
      <c r="Y74" s="15">
        <f t="shared" si="69"/>
        <v>0</v>
      </c>
      <c r="Z74" s="15">
        <f t="shared" si="70"/>
        <v>0</v>
      </c>
      <c r="AA74" s="15">
        <f t="shared" si="71"/>
        <v>0</v>
      </c>
      <c r="AB74" s="15">
        <f t="shared" si="67"/>
        <v>0</v>
      </c>
      <c r="AC74" s="15">
        <f t="shared" si="72"/>
        <v>12</v>
      </c>
      <c r="AD74" s="15">
        <f t="shared" si="73"/>
        <v>12</v>
      </c>
      <c r="AE74" s="226"/>
    </row>
    <row r="75" spans="1:31" ht="70.5" customHeight="1" x14ac:dyDescent="0.25">
      <c r="A75" s="188"/>
      <c r="B75" s="185"/>
      <c r="C75" s="195"/>
      <c r="D75" s="182"/>
      <c r="E75" s="195"/>
      <c r="F75" s="182"/>
      <c r="G75" s="36">
        <v>16</v>
      </c>
      <c r="H75" s="60" t="s">
        <v>166</v>
      </c>
      <c r="I75" s="180"/>
      <c r="J75" s="15"/>
      <c r="K75" s="15"/>
      <c r="L75" s="15"/>
      <c r="M75" s="15"/>
      <c r="N75" s="15"/>
      <c r="O75" s="15">
        <v>1</v>
      </c>
      <c r="P75" s="210"/>
      <c r="Q75" s="15">
        <v>0</v>
      </c>
      <c r="R75" s="15">
        <f t="shared" si="62"/>
        <v>1.2000000000000002</v>
      </c>
      <c r="S75" s="15">
        <f t="shared" si="63"/>
        <v>2.4000000000000004</v>
      </c>
      <c r="T75" s="15">
        <f t="shared" si="64"/>
        <v>3.5999999999999996</v>
      </c>
      <c r="U75" s="15">
        <f t="shared" si="65"/>
        <v>7.1999999999999993</v>
      </c>
      <c r="V75" s="15">
        <f t="shared" si="66"/>
        <v>12</v>
      </c>
      <c r="W75" s="13"/>
      <c r="X75" s="15">
        <f t="shared" si="68"/>
        <v>0</v>
      </c>
      <c r="Y75" s="15">
        <f t="shared" si="69"/>
        <v>0</v>
      </c>
      <c r="Z75" s="15">
        <f t="shared" si="70"/>
        <v>0</v>
      </c>
      <c r="AA75" s="15">
        <f t="shared" si="71"/>
        <v>0</v>
      </c>
      <c r="AB75" s="15">
        <f t="shared" si="67"/>
        <v>0</v>
      </c>
      <c r="AC75" s="15">
        <f t="shared" si="72"/>
        <v>12</v>
      </c>
      <c r="AD75" s="15">
        <f t="shared" si="73"/>
        <v>12</v>
      </c>
      <c r="AE75" s="226"/>
    </row>
    <row r="76" spans="1:31" ht="48" customHeight="1" x14ac:dyDescent="0.25">
      <c r="A76" s="188"/>
      <c r="B76" s="185"/>
      <c r="C76" s="195"/>
      <c r="D76" s="182"/>
      <c r="E76" s="195"/>
      <c r="F76" s="182"/>
      <c r="G76" s="36">
        <v>17</v>
      </c>
      <c r="H76" s="60" t="s">
        <v>167</v>
      </c>
      <c r="I76" s="180"/>
      <c r="J76" s="15"/>
      <c r="K76" s="15"/>
      <c r="L76" s="15"/>
      <c r="M76" s="15"/>
      <c r="N76" s="15"/>
      <c r="O76" s="15">
        <v>1</v>
      </c>
      <c r="P76" s="210"/>
      <c r="Q76" s="15">
        <v>0</v>
      </c>
      <c r="R76" s="15">
        <f>14*0.1</f>
        <v>1.4000000000000001</v>
      </c>
      <c r="S76" s="15">
        <f>14*0.2</f>
        <v>2.8000000000000003</v>
      </c>
      <c r="T76" s="15">
        <f>14*0.3</f>
        <v>4.2</v>
      </c>
      <c r="U76" s="15">
        <f>14*0.6</f>
        <v>8.4</v>
      </c>
      <c r="V76" s="15">
        <f>14*1</f>
        <v>14</v>
      </c>
      <c r="W76" s="13"/>
      <c r="X76" s="15">
        <f t="shared" si="68"/>
        <v>0</v>
      </c>
      <c r="Y76" s="15">
        <f t="shared" si="69"/>
        <v>0</v>
      </c>
      <c r="Z76" s="15">
        <f t="shared" si="70"/>
        <v>0</v>
      </c>
      <c r="AA76" s="15">
        <f t="shared" si="71"/>
        <v>0</v>
      </c>
      <c r="AB76" s="15">
        <f t="shared" si="67"/>
        <v>0</v>
      </c>
      <c r="AC76" s="15">
        <f t="shared" si="72"/>
        <v>14</v>
      </c>
      <c r="AD76" s="15">
        <f t="shared" si="73"/>
        <v>14</v>
      </c>
      <c r="AE76" s="226"/>
    </row>
    <row r="77" spans="1:31" ht="96.75" customHeight="1" x14ac:dyDescent="0.25">
      <c r="A77" s="188"/>
      <c r="B77" s="185"/>
      <c r="C77" s="195"/>
      <c r="D77" s="182"/>
      <c r="E77" s="195"/>
      <c r="F77" s="182"/>
      <c r="G77" s="36">
        <v>18</v>
      </c>
      <c r="H77" s="60" t="s">
        <v>168</v>
      </c>
      <c r="I77" s="180"/>
      <c r="J77" s="15"/>
      <c r="K77" s="15"/>
      <c r="L77" s="15"/>
      <c r="M77" s="15"/>
      <c r="N77" s="15"/>
      <c r="O77" s="15">
        <v>1</v>
      </c>
      <c r="P77" s="210"/>
      <c r="Q77" s="15">
        <v>0</v>
      </c>
      <c r="R77" s="15">
        <f t="shared" ref="R77:R79" si="74">14*0.1</f>
        <v>1.4000000000000001</v>
      </c>
      <c r="S77" s="15">
        <f t="shared" ref="S77:S79" si="75">14*0.2</f>
        <v>2.8000000000000003</v>
      </c>
      <c r="T77" s="15">
        <f t="shared" ref="T77:T79" si="76">14*0.3</f>
        <v>4.2</v>
      </c>
      <c r="U77" s="15">
        <f t="shared" ref="U77:U79" si="77">14*0.6</f>
        <v>8.4</v>
      </c>
      <c r="V77" s="15">
        <f t="shared" ref="V77:V79" si="78">14*1</f>
        <v>14</v>
      </c>
      <c r="W77" s="13"/>
      <c r="X77" s="15">
        <f t="shared" si="68"/>
        <v>0</v>
      </c>
      <c r="Y77" s="15">
        <f t="shared" si="69"/>
        <v>0</v>
      </c>
      <c r="Z77" s="15">
        <f t="shared" si="70"/>
        <v>0</v>
      </c>
      <c r="AA77" s="15">
        <f t="shared" si="71"/>
        <v>0</v>
      </c>
      <c r="AB77" s="15">
        <f t="shared" si="67"/>
        <v>0</v>
      </c>
      <c r="AC77" s="15">
        <f t="shared" si="72"/>
        <v>14</v>
      </c>
      <c r="AD77" s="15">
        <f t="shared" si="73"/>
        <v>14</v>
      </c>
      <c r="AE77" s="226"/>
    </row>
    <row r="78" spans="1:31" ht="54.75" customHeight="1" x14ac:dyDescent="0.25">
      <c r="A78" s="188"/>
      <c r="B78" s="185"/>
      <c r="C78" s="195"/>
      <c r="D78" s="182"/>
      <c r="E78" s="195"/>
      <c r="F78" s="182"/>
      <c r="G78" s="36">
        <v>19</v>
      </c>
      <c r="H78" s="60" t="s">
        <v>169</v>
      </c>
      <c r="I78" s="180"/>
      <c r="J78" s="15"/>
      <c r="K78" s="15"/>
      <c r="L78" s="15"/>
      <c r="M78" s="15"/>
      <c r="N78" s="15"/>
      <c r="O78" s="15">
        <v>1</v>
      </c>
      <c r="P78" s="210"/>
      <c r="Q78" s="15">
        <v>0</v>
      </c>
      <c r="R78" s="15">
        <f t="shared" si="74"/>
        <v>1.4000000000000001</v>
      </c>
      <c r="S78" s="15">
        <f t="shared" si="75"/>
        <v>2.8000000000000003</v>
      </c>
      <c r="T78" s="15">
        <f t="shared" si="76"/>
        <v>4.2</v>
      </c>
      <c r="U78" s="15">
        <f t="shared" si="77"/>
        <v>8.4</v>
      </c>
      <c r="V78" s="15">
        <f t="shared" si="78"/>
        <v>14</v>
      </c>
      <c r="W78" s="13"/>
      <c r="X78" s="15">
        <f t="shared" si="68"/>
        <v>0</v>
      </c>
      <c r="Y78" s="15">
        <f t="shared" si="69"/>
        <v>0</v>
      </c>
      <c r="Z78" s="15">
        <f t="shared" si="70"/>
        <v>0</v>
      </c>
      <c r="AA78" s="15">
        <f t="shared" si="71"/>
        <v>0</v>
      </c>
      <c r="AB78" s="15">
        <f t="shared" si="67"/>
        <v>0</v>
      </c>
      <c r="AC78" s="15">
        <f t="shared" si="72"/>
        <v>14</v>
      </c>
      <c r="AD78" s="15">
        <f t="shared" si="73"/>
        <v>14</v>
      </c>
      <c r="AE78" s="226"/>
    </row>
    <row r="79" spans="1:31" ht="42.75" customHeight="1" x14ac:dyDescent="0.25">
      <c r="A79" s="188"/>
      <c r="B79" s="185"/>
      <c r="C79" s="195"/>
      <c r="D79" s="182"/>
      <c r="E79" s="195"/>
      <c r="F79" s="182"/>
      <c r="G79" s="36">
        <v>20</v>
      </c>
      <c r="H79" s="60" t="s">
        <v>170</v>
      </c>
      <c r="I79" s="180"/>
      <c r="J79" s="15"/>
      <c r="K79" s="15"/>
      <c r="L79" s="15"/>
      <c r="M79" s="15"/>
      <c r="N79" s="15"/>
      <c r="O79" s="15">
        <v>1</v>
      </c>
      <c r="P79" s="210"/>
      <c r="Q79" s="15">
        <v>0</v>
      </c>
      <c r="R79" s="15">
        <f t="shared" si="74"/>
        <v>1.4000000000000001</v>
      </c>
      <c r="S79" s="15">
        <f t="shared" si="75"/>
        <v>2.8000000000000003</v>
      </c>
      <c r="T79" s="15">
        <f t="shared" si="76"/>
        <v>4.2</v>
      </c>
      <c r="U79" s="15">
        <f t="shared" si="77"/>
        <v>8.4</v>
      </c>
      <c r="V79" s="15">
        <f t="shared" si="78"/>
        <v>14</v>
      </c>
      <c r="W79" s="13"/>
      <c r="X79" s="15">
        <f t="shared" si="68"/>
        <v>0</v>
      </c>
      <c r="Y79" s="15">
        <f t="shared" si="69"/>
        <v>0</v>
      </c>
      <c r="Z79" s="15">
        <f t="shared" si="70"/>
        <v>0</v>
      </c>
      <c r="AA79" s="15">
        <f t="shared" si="71"/>
        <v>0</v>
      </c>
      <c r="AB79" s="15">
        <f t="shared" si="67"/>
        <v>0</v>
      </c>
      <c r="AC79" s="15">
        <f t="shared" si="72"/>
        <v>14</v>
      </c>
      <c r="AD79" s="15">
        <f t="shared" si="73"/>
        <v>14</v>
      </c>
      <c r="AE79" s="226"/>
    </row>
    <row r="80" spans="1:31" ht="57.75" customHeight="1" x14ac:dyDescent="0.25">
      <c r="A80" s="188"/>
      <c r="B80" s="185"/>
      <c r="C80" s="195"/>
      <c r="D80" s="182"/>
      <c r="E80" s="195"/>
      <c r="F80" s="182"/>
      <c r="G80" s="36">
        <v>21</v>
      </c>
      <c r="H80" s="60" t="s">
        <v>171</v>
      </c>
      <c r="I80" s="180"/>
      <c r="J80" s="15"/>
      <c r="K80" s="15"/>
      <c r="L80" s="15"/>
      <c r="M80" s="15"/>
      <c r="N80" s="15"/>
      <c r="O80" s="15">
        <v>1</v>
      </c>
      <c r="P80" s="210"/>
      <c r="Q80" s="15">
        <v>0</v>
      </c>
      <c r="R80" s="15">
        <f t="shared" ref="R80:R85" si="79">12*0.1</f>
        <v>1.2000000000000002</v>
      </c>
      <c r="S80" s="15">
        <f t="shared" ref="S80:S85" si="80">12*0.2</f>
        <v>2.4000000000000004</v>
      </c>
      <c r="T80" s="15">
        <f t="shared" ref="T80:T85" si="81">12*0.3</f>
        <v>3.5999999999999996</v>
      </c>
      <c r="U80" s="15">
        <f t="shared" ref="U80:U85" si="82">12*0.6</f>
        <v>7.1999999999999993</v>
      </c>
      <c r="V80" s="15">
        <f t="shared" ref="V80:V85" si="83">12*1</f>
        <v>12</v>
      </c>
      <c r="W80" s="13"/>
      <c r="X80" s="15">
        <f t="shared" si="68"/>
        <v>0</v>
      </c>
      <c r="Y80" s="15">
        <f t="shared" si="69"/>
        <v>0</v>
      </c>
      <c r="Z80" s="15">
        <f t="shared" si="70"/>
        <v>0</v>
      </c>
      <c r="AA80" s="15">
        <f t="shared" si="71"/>
        <v>0</v>
      </c>
      <c r="AB80" s="15">
        <f t="shared" si="67"/>
        <v>0</v>
      </c>
      <c r="AC80" s="15">
        <f t="shared" si="72"/>
        <v>12</v>
      </c>
      <c r="AD80" s="15">
        <f t="shared" si="73"/>
        <v>12</v>
      </c>
      <c r="AE80" s="226"/>
    </row>
    <row r="81" spans="1:31" ht="50.25" customHeight="1" x14ac:dyDescent="0.25">
      <c r="A81" s="188"/>
      <c r="B81" s="185"/>
      <c r="C81" s="195"/>
      <c r="D81" s="182"/>
      <c r="E81" s="195"/>
      <c r="F81" s="182"/>
      <c r="G81" s="36">
        <v>22</v>
      </c>
      <c r="H81" s="60" t="s">
        <v>172</v>
      </c>
      <c r="I81" s="180"/>
      <c r="J81" s="15"/>
      <c r="K81" s="15"/>
      <c r="L81" s="15"/>
      <c r="M81" s="15"/>
      <c r="N81" s="15"/>
      <c r="O81" s="15">
        <v>1</v>
      </c>
      <c r="P81" s="210"/>
      <c r="Q81" s="15">
        <v>0</v>
      </c>
      <c r="R81" s="15">
        <f t="shared" si="79"/>
        <v>1.2000000000000002</v>
      </c>
      <c r="S81" s="15">
        <f t="shared" si="80"/>
        <v>2.4000000000000004</v>
      </c>
      <c r="T81" s="15">
        <f t="shared" si="81"/>
        <v>3.5999999999999996</v>
      </c>
      <c r="U81" s="15">
        <f t="shared" si="82"/>
        <v>7.1999999999999993</v>
      </c>
      <c r="V81" s="15">
        <f t="shared" si="83"/>
        <v>12</v>
      </c>
      <c r="W81" s="13"/>
      <c r="X81" s="15">
        <f t="shared" si="68"/>
        <v>0</v>
      </c>
      <c r="Y81" s="15">
        <f t="shared" si="69"/>
        <v>0</v>
      </c>
      <c r="Z81" s="15">
        <f t="shared" si="70"/>
        <v>0</v>
      </c>
      <c r="AA81" s="15">
        <f t="shared" si="71"/>
        <v>0</v>
      </c>
      <c r="AB81" s="15">
        <f t="shared" si="67"/>
        <v>0</v>
      </c>
      <c r="AC81" s="15">
        <f t="shared" si="72"/>
        <v>12</v>
      </c>
      <c r="AD81" s="15">
        <f t="shared" si="73"/>
        <v>12</v>
      </c>
      <c r="AE81" s="226"/>
    </row>
    <row r="82" spans="1:31" ht="78.75" customHeight="1" x14ac:dyDescent="0.25">
      <c r="A82" s="188"/>
      <c r="B82" s="185"/>
      <c r="C82" s="195"/>
      <c r="D82" s="182"/>
      <c r="E82" s="195"/>
      <c r="F82" s="182"/>
      <c r="G82" s="36">
        <v>23</v>
      </c>
      <c r="H82" s="60" t="s">
        <v>173</v>
      </c>
      <c r="I82" s="180"/>
      <c r="J82" s="15"/>
      <c r="K82" s="15"/>
      <c r="L82" s="15"/>
      <c r="M82" s="15"/>
      <c r="N82" s="15"/>
      <c r="O82" s="15">
        <v>1</v>
      </c>
      <c r="P82" s="210"/>
      <c r="Q82" s="15">
        <v>0</v>
      </c>
      <c r="R82" s="15">
        <f t="shared" si="79"/>
        <v>1.2000000000000002</v>
      </c>
      <c r="S82" s="15">
        <f t="shared" si="80"/>
        <v>2.4000000000000004</v>
      </c>
      <c r="T82" s="15">
        <f t="shared" si="81"/>
        <v>3.5999999999999996</v>
      </c>
      <c r="U82" s="15">
        <f t="shared" si="82"/>
        <v>7.1999999999999993</v>
      </c>
      <c r="V82" s="15">
        <f t="shared" si="83"/>
        <v>12</v>
      </c>
      <c r="W82" s="13"/>
      <c r="X82" s="15">
        <f t="shared" si="68"/>
        <v>0</v>
      </c>
      <c r="Y82" s="15">
        <f t="shared" si="69"/>
        <v>0</v>
      </c>
      <c r="Z82" s="15">
        <f t="shared" si="70"/>
        <v>0</v>
      </c>
      <c r="AA82" s="15">
        <f t="shared" si="71"/>
        <v>0</v>
      </c>
      <c r="AB82" s="15">
        <f t="shared" si="67"/>
        <v>0</v>
      </c>
      <c r="AC82" s="15">
        <f t="shared" si="72"/>
        <v>12</v>
      </c>
      <c r="AD82" s="15">
        <f t="shared" si="73"/>
        <v>12</v>
      </c>
      <c r="AE82" s="226"/>
    </row>
    <row r="83" spans="1:31" ht="81.75" customHeight="1" x14ac:dyDescent="0.25">
      <c r="A83" s="188"/>
      <c r="B83" s="185"/>
      <c r="C83" s="195"/>
      <c r="D83" s="182"/>
      <c r="E83" s="195"/>
      <c r="F83" s="182"/>
      <c r="G83" s="36">
        <v>24</v>
      </c>
      <c r="H83" s="60" t="s">
        <v>174</v>
      </c>
      <c r="I83" s="180"/>
      <c r="J83" s="15"/>
      <c r="K83" s="15"/>
      <c r="L83" s="15"/>
      <c r="M83" s="15"/>
      <c r="N83" s="15"/>
      <c r="O83" s="15">
        <v>1</v>
      </c>
      <c r="P83" s="210"/>
      <c r="Q83" s="15">
        <v>0</v>
      </c>
      <c r="R83" s="15">
        <f t="shared" si="79"/>
        <v>1.2000000000000002</v>
      </c>
      <c r="S83" s="15">
        <f t="shared" si="80"/>
        <v>2.4000000000000004</v>
      </c>
      <c r="T83" s="15">
        <f t="shared" si="81"/>
        <v>3.5999999999999996</v>
      </c>
      <c r="U83" s="15">
        <f t="shared" si="82"/>
        <v>7.1999999999999993</v>
      </c>
      <c r="V83" s="15">
        <f t="shared" si="83"/>
        <v>12</v>
      </c>
      <c r="W83" s="13"/>
      <c r="X83" s="15">
        <f t="shared" si="68"/>
        <v>0</v>
      </c>
      <c r="Y83" s="15">
        <f t="shared" si="69"/>
        <v>0</v>
      </c>
      <c r="Z83" s="15">
        <f t="shared" si="70"/>
        <v>0</v>
      </c>
      <c r="AA83" s="15">
        <f t="shared" si="71"/>
        <v>0</v>
      </c>
      <c r="AB83" s="15">
        <f t="shared" si="67"/>
        <v>0</v>
      </c>
      <c r="AC83" s="15">
        <f t="shared" si="72"/>
        <v>12</v>
      </c>
      <c r="AD83" s="15">
        <f t="shared" si="73"/>
        <v>12</v>
      </c>
      <c r="AE83" s="226"/>
    </row>
    <row r="84" spans="1:31" ht="65.25" customHeight="1" x14ac:dyDescent="0.25">
      <c r="A84" s="188"/>
      <c r="B84" s="185"/>
      <c r="C84" s="195"/>
      <c r="D84" s="182"/>
      <c r="E84" s="195"/>
      <c r="F84" s="182"/>
      <c r="G84" s="36">
        <v>25</v>
      </c>
      <c r="H84" s="60" t="s">
        <v>175</v>
      </c>
      <c r="I84" s="180"/>
      <c r="J84" s="15"/>
      <c r="K84" s="15"/>
      <c r="L84" s="15"/>
      <c r="M84" s="15"/>
      <c r="N84" s="15"/>
      <c r="O84" s="15">
        <v>1</v>
      </c>
      <c r="P84" s="31"/>
      <c r="Q84" s="15">
        <v>0</v>
      </c>
      <c r="R84" s="15">
        <f t="shared" si="79"/>
        <v>1.2000000000000002</v>
      </c>
      <c r="S84" s="15">
        <f t="shared" si="80"/>
        <v>2.4000000000000004</v>
      </c>
      <c r="T84" s="15">
        <f t="shared" si="81"/>
        <v>3.5999999999999996</v>
      </c>
      <c r="U84" s="15">
        <f t="shared" si="82"/>
        <v>7.1999999999999993</v>
      </c>
      <c r="V84" s="15">
        <f t="shared" si="83"/>
        <v>12</v>
      </c>
      <c r="W84" s="13"/>
      <c r="X84" s="15">
        <f t="shared" si="68"/>
        <v>0</v>
      </c>
      <c r="Y84" s="15">
        <f t="shared" si="69"/>
        <v>0</v>
      </c>
      <c r="Z84" s="15">
        <f t="shared" si="70"/>
        <v>0</v>
      </c>
      <c r="AA84" s="15">
        <f t="shared" si="71"/>
        <v>0</v>
      </c>
      <c r="AB84" s="15">
        <f t="shared" si="67"/>
        <v>0</v>
      </c>
      <c r="AC84" s="15">
        <f t="shared" si="72"/>
        <v>12</v>
      </c>
      <c r="AD84" s="15">
        <f t="shared" si="73"/>
        <v>12</v>
      </c>
      <c r="AE84" s="226"/>
    </row>
    <row r="85" spans="1:31" ht="48.75" customHeight="1" x14ac:dyDescent="0.25">
      <c r="A85" s="188"/>
      <c r="B85" s="185"/>
      <c r="C85" s="195"/>
      <c r="D85" s="182"/>
      <c r="E85" s="195"/>
      <c r="F85" s="182"/>
      <c r="G85" s="36">
        <v>26</v>
      </c>
      <c r="H85" s="60" t="s">
        <v>176</v>
      </c>
      <c r="I85" s="180"/>
      <c r="J85" s="15"/>
      <c r="K85" s="15"/>
      <c r="L85" s="15"/>
      <c r="M85" s="15"/>
      <c r="N85" s="15"/>
      <c r="O85" s="15">
        <v>1</v>
      </c>
      <c r="P85" s="31"/>
      <c r="Q85" s="15">
        <v>0</v>
      </c>
      <c r="R85" s="15">
        <f t="shared" si="79"/>
        <v>1.2000000000000002</v>
      </c>
      <c r="S85" s="15">
        <f t="shared" si="80"/>
        <v>2.4000000000000004</v>
      </c>
      <c r="T85" s="15">
        <f t="shared" si="81"/>
        <v>3.5999999999999996</v>
      </c>
      <c r="U85" s="15">
        <f t="shared" si="82"/>
        <v>7.1999999999999993</v>
      </c>
      <c r="V85" s="15">
        <f t="shared" si="83"/>
        <v>12</v>
      </c>
      <c r="W85" s="13"/>
      <c r="X85" s="15">
        <f t="shared" si="68"/>
        <v>0</v>
      </c>
      <c r="Y85" s="15">
        <f t="shared" si="69"/>
        <v>0</v>
      </c>
      <c r="Z85" s="15">
        <f t="shared" si="70"/>
        <v>0</v>
      </c>
      <c r="AA85" s="15">
        <f t="shared" si="71"/>
        <v>0</v>
      </c>
      <c r="AB85" s="15">
        <f t="shared" si="67"/>
        <v>0</v>
      </c>
      <c r="AC85" s="15">
        <f t="shared" si="72"/>
        <v>12</v>
      </c>
      <c r="AD85" s="15">
        <f t="shared" si="73"/>
        <v>12</v>
      </c>
      <c r="AE85" s="226"/>
    </row>
    <row r="86" spans="1:31" ht="39" customHeight="1" x14ac:dyDescent="0.25">
      <c r="A86" s="188"/>
      <c r="B86" s="185"/>
      <c r="C86" s="195"/>
      <c r="D86" s="182"/>
      <c r="E86" s="195"/>
      <c r="F86" s="182"/>
      <c r="G86" s="36">
        <v>27</v>
      </c>
      <c r="H86" s="60" t="s">
        <v>177</v>
      </c>
      <c r="I86" s="180"/>
      <c r="J86" s="15"/>
      <c r="K86" s="15"/>
      <c r="L86" s="15"/>
      <c r="M86" s="15"/>
      <c r="N86" s="15"/>
      <c r="O86" s="15">
        <v>1</v>
      </c>
      <c r="P86" s="31"/>
      <c r="Q86" s="15">
        <v>0</v>
      </c>
      <c r="R86" s="15">
        <f>10*0.1</f>
        <v>1</v>
      </c>
      <c r="S86" s="15">
        <f>10*0.2</f>
        <v>2</v>
      </c>
      <c r="T86" s="15">
        <f>10*0.3</f>
        <v>3</v>
      </c>
      <c r="U86" s="15">
        <f>10*0.6</f>
        <v>6</v>
      </c>
      <c r="V86" s="15">
        <f>10*1</f>
        <v>10</v>
      </c>
      <c r="W86" s="13"/>
      <c r="X86" s="15">
        <f t="shared" si="68"/>
        <v>0</v>
      </c>
      <c r="Y86" s="15">
        <f t="shared" si="69"/>
        <v>0</v>
      </c>
      <c r="Z86" s="15">
        <f t="shared" si="70"/>
        <v>0</v>
      </c>
      <c r="AA86" s="15">
        <f t="shared" si="71"/>
        <v>0</v>
      </c>
      <c r="AB86" s="15">
        <f t="shared" si="67"/>
        <v>0</v>
      </c>
      <c r="AC86" s="15">
        <f t="shared" si="72"/>
        <v>10</v>
      </c>
      <c r="AD86" s="15">
        <f t="shared" si="73"/>
        <v>10</v>
      </c>
      <c r="AE86" s="226"/>
    </row>
    <row r="87" spans="1:31" ht="42.75" customHeight="1" x14ac:dyDescent="0.25">
      <c r="A87" s="188"/>
      <c r="B87" s="185"/>
      <c r="C87" s="195"/>
      <c r="D87" s="182"/>
      <c r="E87" s="195"/>
      <c r="F87" s="182"/>
      <c r="G87" s="36">
        <v>28</v>
      </c>
      <c r="H87" s="60" t="s">
        <v>178</v>
      </c>
      <c r="I87" s="180"/>
      <c r="J87" s="15"/>
      <c r="K87" s="15"/>
      <c r="L87" s="15"/>
      <c r="M87" s="15"/>
      <c r="N87" s="15"/>
      <c r="O87" s="15">
        <v>1</v>
      </c>
      <c r="P87" s="31"/>
      <c r="Q87" s="15">
        <v>0</v>
      </c>
      <c r="R87" s="15">
        <f t="shared" ref="R87:R88" si="84">10*0.1</f>
        <v>1</v>
      </c>
      <c r="S87" s="15">
        <f t="shared" ref="S87:S88" si="85">10*0.2</f>
        <v>2</v>
      </c>
      <c r="T87" s="15">
        <f t="shared" ref="T87:T88" si="86">10*0.3</f>
        <v>3</v>
      </c>
      <c r="U87" s="15">
        <f t="shared" ref="U87:U88" si="87">10*0.6</f>
        <v>6</v>
      </c>
      <c r="V87" s="15">
        <f t="shared" ref="V87:V88" si="88">10*1</f>
        <v>10</v>
      </c>
      <c r="W87" s="13"/>
      <c r="X87" s="15">
        <f t="shared" si="68"/>
        <v>0</v>
      </c>
      <c r="Y87" s="15">
        <f t="shared" si="69"/>
        <v>0</v>
      </c>
      <c r="Z87" s="15">
        <f t="shared" si="70"/>
        <v>0</v>
      </c>
      <c r="AA87" s="15">
        <f t="shared" si="71"/>
        <v>0</v>
      </c>
      <c r="AB87" s="15">
        <f t="shared" si="67"/>
        <v>0</v>
      </c>
      <c r="AC87" s="15">
        <f t="shared" si="72"/>
        <v>10</v>
      </c>
      <c r="AD87" s="15">
        <f t="shared" si="73"/>
        <v>10</v>
      </c>
      <c r="AE87" s="226"/>
    </row>
    <row r="88" spans="1:31" ht="98.25" customHeight="1" x14ac:dyDescent="0.25">
      <c r="A88" s="189"/>
      <c r="B88" s="186"/>
      <c r="C88" s="196"/>
      <c r="D88" s="183"/>
      <c r="E88" s="196"/>
      <c r="F88" s="183"/>
      <c r="G88" s="36">
        <v>29</v>
      </c>
      <c r="H88" s="60" t="s">
        <v>179</v>
      </c>
      <c r="I88" s="180"/>
      <c r="J88" s="15"/>
      <c r="K88" s="15"/>
      <c r="L88" s="15"/>
      <c r="M88" s="15"/>
      <c r="N88" s="15"/>
      <c r="O88" s="15">
        <v>1</v>
      </c>
      <c r="P88" s="31"/>
      <c r="Q88" s="15">
        <v>0</v>
      </c>
      <c r="R88" s="15">
        <f t="shared" si="84"/>
        <v>1</v>
      </c>
      <c r="S88" s="15">
        <f t="shared" si="85"/>
        <v>2</v>
      </c>
      <c r="T88" s="15">
        <f t="shared" si="86"/>
        <v>3</v>
      </c>
      <c r="U88" s="15">
        <f t="shared" si="87"/>
        <v>6</v>
      </c>
      <c r="V88" s="15">
        <f t="shared" si="88"/>
        <v>10</v>
      </c>
      <c r="W88" s="13"/>
      <c r="X88" s="15">
        <f t="shared" si="68"/>
        <v>0</v>
      </c>
      <c r="Y88" s="15">
        <f t="shared" si="69"/>
        <v>0</v>
      </c>
      <c r="Z88" s="15">
        <f t="shared" si="70"/>
        <v>0</v>
      </c>
      <c r="AA88" s="15">
        <f t="shared" si="71"/>
        <v>0</v>
      </c>
      <c r="AB88" s="15">
        <f t="shared" si="67"/>
        <v>0</v>
      </c>
      <c r="AC88" s="15">
        <f t="shared" si="72"/>
        <v>10</v>
      </c>
      <c r="AD88" s="15">
        <f t="shared" si="73"/>
        <v>10</v>
      </c>
      <c r="AE88" s="226"/>
    </row>
    <row r="89" spans="1:31" ht="87.75" customHeight="1" x14ac:dyDescent="0.25">
      <c r="A89" s="192">
        <v>4</v>
      </c>
      <c r="B89" s="190" t="s">
        <v>35</v>
      </c>
      <c r="C89" s="194"/>
      <c r="D89" s="181" t="s">
        <v>36</v>
      </c>
      <c r="E89" s="194"/>
      <c r="F89" s="181" t="s">
        <v>346</v>
      </c>
      <c r="G89" s="36">
        <v>1</v>
      </c>
      <c r="H89" s="61" t="s">
        <v>180</v>
      </c>
      <c r="I89" s="180" t="s">
        <v>306</v>
      </c>
      <c r="J89" s="15"/>
      <c r="K89" s="15"/>
      <c r="L89" s="15"/>
      <c r="M89" s="15"/>
      <c r="N89" s="15"/>
      <c r="O89" s="15">
        <v>1</v>
      </c>
      <c r="P89" s="31"/>
      <c r="Q89" s="15">
        <v>0</v>
      </c>
      <c r="R89" s="15">
        <f>15*0.1</f>
        <v>1.5</v>
      </c>
      <c r="S89" s="15">
        <f>15*0.2</f>
        <v>3</v>
      </c>
      <c r="T89" s="15">
        <f>15*0.3</f>
        <v>4.5</v>
      </c>
      <c r="U89" s="15">
        <f>15*0.6</f>
        <v>9</v>
      </c>
      <c r="V89" s="15">
        <f>15*1</f>
        <v>15</v>
      </c>
      <c r="W89" s="13"/>
      <c r="X89" s="15">
        <f t="shared" si="68"/>
        <v>0</v>
      </c>
      <c r="Y89" s="15">
        <f t="shared" si="69"/>
        <v>0</v>
      </c>
      <c r="Z89" s="15">
        <f t="shared" si="70"/>
        <v>0</v>
      </c>
      <c r="AA89" s="15">
        <f t="shared" si="71"/>
        <v>0</v>
      </c>
      <c r="AB89" s="15">
        <f t="shared" si="67"/>
        <v>0</v>
      </c>
      <c r="AC89" s="15">
        <f t="shared" si="72"/>
        <v>15</v>
      </c>
      <c r="AD89" s="15">
        <f t="shared" si="73"/>
        <v>15</v>
      </c>
      <c r="AE89" s="226">
        <f>SUM(AD89:AD90)</f>
        <v>30</v>
      </c>
    </row>
    <row r="90" spans="1:31" ht="83.25" customHeight="1" x14ac:dyDescent="0.25">
      <c r="A90" s="193"/>
      <c r="B90" s="191"/>
      <c r="C90" s="196"/>
      <c r="D90" s="183"/>
      <c r="E90" s="196"/>
      <c r="F90" s="183"/>
      <c r="G90" s="36">
        <v>2</v>
      </c>
      <c r="H90" s="60" t="s">
        <v>181</v>
      </c>
      <c r="I90" s="180"/>
      <c r="J90" s="15"/>
      <c r="K90" s="15"/>
      <c r="L90" s="15"/>
      <c r="M90" s="15"/>
      <c r="N90" s="15"/>
      <c r="O90" s="15">
        <v>1</v>
      </c>
      <c r="P90" s="210"/>
      <c r="Q90" s="15">
        <v>0</v>
      </c>
      <c r="R90" s="15">
        <f>15*0.1</f>
        <v>1.5</v>
      </c>
      <c r="S90" s="15">
        <f>15*0.2</f>
        <v>3</v>
      </c>
      <c r="T90" s="15">
        <f>15*0.3</f>
        <v>4.5</v>
      </c>
      <c r="U90" s="15">
        <f>15*0.6</f>
        <v>9</v>
      </c>
      <c r="V90" s="15">
        <f>15*1</f>
        <v>15</v>
      </c>
      <c r="W90" s="13"/>
      <c r="X90" s="15">
        <f t="shared" si="68"/>
        <v>0</v>
      </c>
      <c r="Y90" s="15">
        <f t="shared" si="69"/>
        <v>0</v>
      </c>
      <c r="Z90" s="15">
        <f t="shared" si="70"/>
        <v>0</v>
      </c>
      <c r="AA90" s="15">
        <f t="shared" si="71"/>
        <v>0</v>
      </c>
      <c r="AB90" s="15">
        <f t="shared" si="67"/>
        <v>0</v>
      </c>
      <c r="AC90" s="15">
        <f t="shared" si="72"/>
        <v>15</v>
      </c>
      <c r="AD90" s="15">
        <f t="shared" si="73"/>
        <v>15</v>
      </c>
      <c r="AE90" s="226"/>
    </row>
    <row r="91" spans="1:31" ht="76.5" customHeight="1" x14ac:dyDescent="0.25">
      <c r="A91" s="187">
        <v>5</v>
      </c>
      <c r="B91" s="184" t="s">
        <v>37</v>
      </c>
      <c r="C91" s="194"/>
      <c r="D91" s="181" t="s">
        <v>38</v>
      </c>
      <c r="E91" s="194"/>
      <c r="F91" s="181" t="s">
        <v>182</v>
      </c>
      <c r="G91" s="36">
        <v>1</v>
      </c>
      <c r="H91" s="60" t="s">
        <v>347</v>
      </c>
      <c r="I91" s="180" t="s">
        <v>307</v>
      </c>
      <c r="J91" s="15"/>
      <c r="K91" s="15"/>
      <c r="L91" s="15"/>
      <c r="M91" s="15"/>
      <c r="N91" s="15"/>
      <c r="O91" s="15">
        <v>1</v>
      </c>
      <c r="P91" s="210"/>
      <c r="Q91" s="15">
        <v>0</v>
      </c>
      <c r="R91" s="15">
        <f>16*0.1</f>
        <v>1.6</v>
      </c>
      <c r="S91" s="15">
        <f>16*0.2</f>
        <v>3.2</v>
      </c>
      <c r="T91" s="15">
        <f>16*0.3</f>
        <v>4.8</v>
      </c>
      <c r="U91" s="15">
        <f>16*0.6</f>
        <v>9.6</v>
      </c>
      <c r="V91" s="15">
        <f>16*1</f>
        <v>16</v>
      </c>
      <c r="W91" s="13"/>
      <c r="X91" s="15">
        <f t="shared" si="68"/>
        <v>0</v>
      </c>
      <c r="Y91" s="15">
        <f t="shared" si="69"/>
        <v>0</v>
      </c>
      <c r="Z91" s="15">
        <f t="shared" si="70"/>
        <v>0</v>
      </c>
      <c r="AA91" s="15">
        <f t="shared" si="71"/>
        <v>0</v>
      </c>
      <c r="AB91" s="15">
        <f t="shared" si="67"/>
        <v>0</v>
      </c>
      <c r="AC91" s="15">
        <f t="shared" si="72"/>
        <v>16</v>
      </c>
      <c r="AD91" s="15">
        <f t="shared" si="73"/>
        <v>16</v>
      </c>
      <c r="AE91" s="226">
        <f>SUM(AD91:AD101)</f>
        <v>175</v>
      </c>
    </row>
    <row r="92" spans="1:31" ht="54.75" customHeight="1" x14ac:dyDescent="0.25">
      <c r="A92" s="188"/>
      <c r="B92" s="185"/>
      <c r="C92" s="195"/>
      <c r="D92" s="182"/>
      <c r="E92" s="195"/>
      <c r="F92" s="182"/>
      <c r="G92" s="36">
        <v>2</v>
      </c>
      <c r="H92" s="60" t="s">
        <v>348</v>
      </c>
      <c r="I92" s="180"/>
      <c r="J92" s="15"/>
      <c r="K92" s="15"/>
      <c r="L92" s="15"/>
      <c r="M92" s="15"/>
      <c r="N92" s="15"/>
      <c r="O92" s="15">
        <v>1</v>
      </c>
      <c r="P92" s="210"/>
      <c r="Q92" s="15">
        <v>0</v>
      </c>
      <c r="R92" s="15">
        <f t="shared" ref="R92:R101" si="89">16*0.1</f>
        <v>1.6</v>
      </c>
      <c r="S92" s="15">
        <f t="shared" ref="S92:S101" si="90">16*0.2</f>
        <v>3.2</v>
      </c>
      <c r="T92" s="15">
        <f t="shared" ref="T92:T101" si="91">16*0.3</f>
        <v>4.8</v>
      </c>
      <c r="U92" s="15">
        <f t="shared" ref="U92:U101" si="92">16*0.6</f>
        <v>9.6</v>
      </c>
      <c r="V92" s="15">
        <f t="shared" ref="V92:V101" si="93">16*1</f>
        <v>16</v>
      </c>
      <c r="W92" s="13"/>
      <c r="X92" s="15">
        <f t="shared" si="68"/>
        <v>0</v>
      </c>
      <c r="Y92" s="15">
        <f t="shared" si="69"/>
        <v>0</v>
      </c>
      <c r="Z92" s="15">
        <f t="shared" si="70"/>
        <v>0</v>
      </c>
      <c r="AA92" s="15">
        <f t="shared" si="71"/>
        <v>0</v>
      </c>
      <c r="AB92" s="15">
        <f t="shared" si="67"/>
        <v>0</v>
      </c>
      <c r="AC92" s="15">
        <f t="shared" si="72"/>
        <v>16</v>
      </c>
      <c r="AD92" s="15">
        <f t="shared" si="73"/>
        <v>16</v>
      </c>
      <c r="AE92" s="226"/>
    </row>
    <row r="93" spans="1:31" ht="54" customHeight="1" x14ac:dyDescent="0.25">
      <c r="A93" s="188"/>
      <c r="B93" s="185"/>
      <c r="C93" s="195"/>
      <c r="D93" s="182"/>
      <c r="E93" s="195"/>
      <c r="F93" s="182"/>
      <c r="G93" s="36">
        <v>3</v>
      </c>
      <c r="H93" s="60" t="s">
        <v>183</v>
      </c>
      <c r="I93" s="180"/>
      <c r="J93" s="15"/>
      <c r="K93" s="15"/>
      <c r="L93" s="15"/>
      <c r="M93" s="15"/>
      <c r="N93" s="15"/>
      <c r="O93" s="15">
        <v>1</v>
      </c>
      <c r="P93" s="210"/>
      <c r="Q93" s="15">
        <v>0</v>
      </c>
      <c r="R93" s="15">
        <f t="shared" si="89"/>
        <v>1.6</v>
      </c>
      <c r="S93" s="15">
        <f t="shared" si="90"/>
        <v>3.2</v>
      </c>
      <c r="T93" s="15">
        <f t="shared" si="91"/>
        <v>4.8</v>
      </c>
      <c r="U93" s="15">
        <f t="shared" si="92"/>
        <v>9.6</v>
      </c>
      <c r="V93" s="15">
        <f t="shared" si="93"/>
        <v>16</v>
      </c>
      <c r="W93" s="13"/>
      <c r="X93" s="15">
        <f t="shared" si="68"/>
        <v>0</v>
      </c>
      <c r="Y93" s="15">
        <f t="shared" si="69"/>
        <v>0</v>
      </c>
      <c r="Z93" s="15">
        <f t="shared" si="70"/>
        <v>0</v>
      </c>
      <c r="AA93" s="15">
        <f t="shared" si="71"/>
        <v>0</v>
      </c>
      <c r="AB93" s="15">
        <f t="shared" ref="AB93:AB108" si="94">N93*U93</f>
        <v>0</v>
      </c>
      <c r="AC93" s="15">
        <f t="shared" si="72"/>
        <v>16</v>
      </c>
      <c r="AD93" s="15">
        <f t="shared" si="73"/>
        <v>16</v>
      </c>
      <c r="AE93" s="226"/>
    </row>
    <row r="94" spans="1:31" ht="45.75" customHeight="1" x14ac:dyDescent="0.25">
      <c r="A94" s="188"/>
      <c r="B94" s="185"/>
      <c r="C94" s="196"/>
      <c r="D94" s="183"/>
      <c r="E94" s="196"/>
      <c r="F94" s="183"/>
      <c r="G94" s="36">
        <v>4</v>
      </c>
      <c r="H94" s="60" t="s">
        <v>184</v>
      </c>
      <c r="I94" s="180"/>
      <c r="J94" s="15"/>
      <c r="K94" s="15"/>
      <c r="L94" s="15"/>
      <c r="M94" s="15"/>
      <c r="N94" s="15"/>
      <c r="O94" s="15">
        <v>1</v>
      </c>
      <c r="P94" s="31"/>
      <c r="Q94" s="15">
        <v>0</v>
      </c>
      <c r="R94" s="15">
        <f t="shared" si="89"/>
        <v>1.6</v>
      </c>
      <c r="S94" s="15">
        <f t="shared" si="90"/>
        <v>3.2</v>
      </c>
      <c r="T94" s="15">
        <f t="shared" si="91"/>
        <v>4.8</v>
      </c>
      <c r="U94" s="15">
        <f t="shared" si="92"/>
        <v>9.6</v>
      </c>
      <c r="V94" s="15">
        <f t="shared" si="93"/>
        <v>16</v>
      </c>
      <c r="W94" s="13"/>
      <c r="X94" s="15">
        <f t="shared" ref="X94:X108" si="95">J94*Q94</f>
        <v>0</v>
      </c>
      <c r="Y94" s="15">
        <f t="shared" ref="Y94:Y108" si="96">K94*R94</f>
        <v>0</v>
      </c>
      <c r="Z94" s="15">
        <f t="shared" ref="Z94:Z108" si="97">L94*S94</f>
        <v>0</v>
      </c>
      <c r="AA94" s="15">
        <f t="shared" ref="AA94:AA108" si="98">M94*T94</f>
        <v>0</v>
      </c>
      <c r="AB94" s="15">
        <f t="shared" si="94"/>
        <v>0</v>
      </c>
      <c r="AC94" s="15">
        <f t="shared" ref="AC94:AC108" si="99">O94*V94</f>
        <v>16</v>
      </c>
      <c r="AD94" s="15">
        <f t="shared" si="73"/>
        <v>16</v>
      </c>
      <c r="AE94" s="226"/>
    </row>
    <row r="95" spans="1:31" ht="60" customHeight="1" x14ac:dyDescent="0.25">
      <c r="A95" s="188"/>
      <c r="B95" s="185"/>
      <c r="C95" s="194"/>
      <c r="D95" s="181" t="s">
        <v>185</v>
      </c>
      <c r="E95" s="194"/>
      <c r="F95" s="181" t="s">
        <v>186</v>
      </c>
      <c r="G95" s="36">
        <v>5</v>
      </c>
      <c r="H95" s="60" t="s">
        <v>187</v>
      </c>
      <c r="I95" s="180" t="s">
        <v>308</v>
      </c>
      <c r="J95" s="15"/>
      <c r="K95" s="15"/>
      <c r="L95" s="15"/>
      <c r="M95" s="15"/>
      <c r="N95" s="15"/>
      <c r="O95" s="15">
        <v>1</v>
      </c>
      <c r="P95" s="31"/>
      <c r="Q95" s="15">
        <v>0</v>
      </c>
      <c r="R95" s="15">
        <f t="shared" si="89"/>
        <v>1.6</v>
      </c>
      <c r="S95" s="15">
        <f t="shared" si="90"/>
        <v>3.2</v>
      </c>
      <c r="T95" s="15">
        <f t="shared" si="91"/>
        <v>4.8</v>
      </c>
      <c r="U95" s="15">
        <f t="shared" si="92"/>
        <v>9.6</v>
      </c>
      <c r="V95" s="15">
        <f t="shared" si="93"/>
        <v>16</v>
      </c>
      <c r="W95" s="13"/>
      <c r="X95" s="15">
        <f t="shared" si="95"/>
        <v>0</v>
      </c>
      <c r="Y95" s="15">
        <f t="shared" si="96"/>
        <v>0</v>
      </c>
      <c r="Z95" s="15">
        <f t="shared" si="97"/>
        <v>0</v>
      </c>
      <c r="AA95" s="15">
        <f t="shared" si="98"/>
        <v>0</v>
      </c>
      <c r="AB95" s="15">
        <f t="shared" si="94"/>
        <v>0</v>
      </c>
      <c r="AC95" s="15">
        <f t="shared" si="99"/>
        <v>16</v>
      </c>
      <c r="AD95" s="15">
        <f t="shared" si="73"/>
        <v>16</v>
      </c>
      <c r="AE95" s="226"/>
    </row>
    <row r="96" spans="1:31" ht="76.5" customHeight="1" x14ac:dyDescent="0.25">
      <c r="A96" s="188"/>
      <c r="B96" s="185"/>
      <c r="C96" s="195"/>
      <c r="D96" s="182"/>
      <c r="E96" s="195"/>
      <c r="F96" s="182"/>
      <c r="G96" s="36">
        <v>6</v>
      </c>
      <c r="H96" s="60" t="s">
        <v>188</v>
      </c>
      <c r="I96" s="180"/>
      <c r="J96" s="15"/>
      <c r="K96" s="15"/>
      <c r="L96" s="15"/>
      <c r="M96" s="15"/>
      <c r="N96" s="15"/>
      <c r="O96" s="15">
        <v>1</v>
      </c>
      <c r="P96" s="31"/>
      <c r="Q96" s="15">
        <v>0</v>
      </c>
      <c r="R96" s="15">
        <f t="shared" si="89"/>
        <v>1.6</v>
      </c>
      <c r="S96" s="15">
        <f t="shared" si="90"/>
        <v>3.2</v>
      </c>
      <c r="T96" s="15">
        <f t="shared" si="91"/>
        <v>4.8</v>
      </c>
      <c r="U96" s="15">
        <f t="shared" si="92"/>
        <v>9.6</v>
      </c>
      <c r="V96" s="15">
        <f t="shared" si="93"/>
        <v>16</v>
      </c>
      <c r="W96" s="13"/>
      <c r="X96" s="15">
        <f t="shared" si="95"/>
        <v>0</v>
      </c>
      <c r="Y96" s="15">
        <f t="shared" si="96"/>
        <v>0</v>
      </c>
      <c r="Z96" s="15">
        <f t="shared" si="97"/>
        <v>0</v>
      </c>
      <c r="AA96" s="15">
        <f t="shared" si="98"/>
        <v>0</v>
      </c>
      <c r="AB96" s="15">
        <f t="shared" si="94"/>
        <v>0</v>
      </c>
      <c r="AC96" s="15">
        <f t="shared" si="99"/>
        <v>16</v>
      </c>
      <c r="AD96" s="15">
        <f t="shared" si="73"/>
        <v>16</v>
      </c>
      <c r="AE96" s="226"/>
    </row>
    <row r="97" spans="1:31" ht="81" customHeight="1" x14ac:dyDescent="0.25">
      <c r="A97" s="188"/>
      <c r="B97" s="185"/>
      <c r="C97" s="195"/>
      <c r="D97" s="182"/>
      <c r="E97" s="195"/>
      <c r="F97" s="182"/>
      <c r="G97" s="36">
        <v>7</v>
      </c>
      <c r="H97" s="60" t="s">
        <v>189</v>
      </c>
      <c r="I97" s="180"/>
      <c r="J97" s="15"/>
      <c r="K97" s="15"/>
      <c r="L97" s="15"/>
      <c r="M97" s="15"/>
      <c r="N97" s="15"/>
      <c r="O97" s="15">
        <v>1</v>
      </c>
      <c r="P97" s="31"/>
      <c r="Q97" s="15">
        <v>0</v>
      </c>
      <c r="R97" s="15">
        <f>15*0.1</f>
        <v>1.5</v>
      </c>
      <c r="S97" s="15">
        <f>15*0.2</f>
        <v>3</v>
      </c>
      <c r="T97" s="15">
        <f>15*0.3</f>
        <v>4.5</v>
      </c>
      <c r="U97" s="15">
        <f>15*0.6</f>
        <v>9</v>
      </c>
      <c r="V97" s="15">
        <f>15*1</f>
        <v>15</v>
      </c>
      <c r="W97" s="13"/>
      <c r="X97" s="15">
        <f t="shared" si="95"/>
        <v>0</v>
      </c>
      <c r="Y97" s="15">
        <f t="shared" si="96"/>
        <v>0</v>
      </c>
      <c r="Z97" s="15">
        <f t="shared" si="97"/>
        <v>0</v>
      </c>
      <c r="AA97" s="15">
        <f t="shared" si="98"/>
        <v>0</v>
      </c>
      <c r="AB97" s="15">
        <f t="shared" si="94"/>
        <v>0</v>
      </c>
      <c r="AC97" s="15">
        <f t="shared" si="99"/>
        <v>15</v>
      </c>
      <c r="AD97" s="15">
        <f t="shared" si="73"/>
        <v>15</v>
      </c>
      <c r="AE97" s="226"/>
    </row>
    <row r="98" spans="1:31" ht="85.5" customHeight="1" x14ac:dyDescent="0.25">
      <c r="A98" s="188"/>
      <c r="B98" s="185"/>
      <c r="C98" s="195"/>
      <c r="D98" s="182"/>
      <c r="E98" s="195"/>
      <c r="F98" s="182"/>
      <c r="G98" s="36">
        <v>8</v>
      </c>
      <c r="H98" s="60" t="s">
        <v>357</v>
      </c>
      <c r="I98" s="180"/>
      <c r="J98" s="15"/>
      <c r="K98" s="15"/>
      <c r="L98" s="15"/>
      <c r="M98" s="15"/>
      <c r="N98" s="15"/>
      <c r="O98" s="15">
        <v>1</v>
      </c>
      <c r="P98" s="210"/>
      <c r="Q98" s="15">
        <v>0</v>
      </c>
      <c r="R98" s="15">
        <f t="shared" si="89"/>
        <v>1.6</v>
      </c>
      <c r="S98" s="15">
        <f t="shared" si="90"/>
        <v>3.2</v>
      </c>
      <c r="T98" s="15">
        <f t="shared" si="91"/>
        <v>4.8</v>
      </c>
      <c r="U98" s="15">
        <f t="shared" si="92"/>
        <v>9.6</v>
      </c>
      <c r="V98" s="15">
        <f t="shared" si="93"/>
        <v>16</v>
      </c>
      <c r="W98" s="13"/>
      <c r="X98" s="15">
        <f t="shared" si="95"/>
        <v>0</v>
      </c>
      <c r="Y98" s="15">
        <f t="shared" si="96"/>
        <v>0</v>
      </c>
      <c r="Z98" s="15">
        <f t="shared" si="97"/>
        <v>0</v>
      </c>
      <c r="AA98" s="15">
        <f t="shared" si="98"/>
        <v>0</v>
      </c>
      <c r="AB98" s="15">
        <f t="shared" si="94"/>
        <v>0</v>
      </c>
      <c r="AC98" s="15">
        <f t="shared" si="99"/>
        <v>16</v>
      </c>
      <c r="AD98" s="15">
        <f t="shared" si="73"/>
        <v>16</v>
      </c>
      <c r="AE98" s="226"/>
    </row>
    <row r="99" spans="1:31" ht="108" customHeight="1" x14ac:dyDescent="0.25">
      <c r="A99" s="188"/>
      <c r="B99" s="185"/>
      <c r="C99" s="196"/>
      <c r="D99" s="183"/>
      <c r="E99" s="196"/>
      <c r="F99" s="183"/>
      <c r="G99" s="36">
        <v>9</v>
      </c>
      <c r="H99" s="60" t="s">
        <v>190</v>
      </c>
      <c r="I99" s="180"/>
      <c r="J99" s="15"/>
      <c r="K99" s="15"/>
      <c r="L99" s="15"/>
      <c r="M99" s="15"/>
      <c r="N99" s="15"/>
      <c r="O99" s="15">
        <v>1</v>
      </c>
      <c r="P99" s="210"/>
      <c r="Q99" s="15">
        <v>0</v>
      </c>
      <c r="R99" s="15">
        <f t="shared" si="89"/>
        <v>1.6</v>
      </c>
      <c r="S99" s="15">
        <f t="shared" si="90"/>
        <v>3.2</v>
      </c>
      <c r="T99" s="15">
        <f t="shared" si="91"/>
        <v>4.8</v>
      </c>
      <c r="U99" s="15">
        <f t="shared" si="92"/>
        <v>9.6</v>
      </c>
      <c r="V99" s="15">
        <f t="shared" si="93"/>
        <v>16</v>
      </c>
      <c r="W99" s="13"/>
      <c r="X99" s="15">
        <f t="shared" si="95"/>
        <v>0</v>
      </c>
      <c r="Y99" s="15">
        <f t="shared" si="96"/>
        <v>0</v>
      </c>
      <c r="Z99" s="15">
        <f t="shared" si="97"/>
        <v>0</v>
      </c>
      <c r="AA99" s="15">
        <f t="shared" si="98"/>
        <v>0</v>
      </c>
      <c r="AB99" s="15">
        <f t="shared" si="94"/>
        <v>0</v>
      </c>
      <c r="AC99" s="15">
        <f t="shared" si="99"/>
        <v>16</v>
      </c>
      <c r="AD99" s="15">
        <f t="shared" si="73"/>
        <v>16</v>
      </c>
      <c r="AE99" s="226"/>
    </row>
    <row r="100" spans="1:31" ht="73.5" customHeight="1" x14ac:dyDescent="0.25">
      <c r="A100" s="188"/>
      <c r="B100" s="185"/>
      <c r="C100" s="194"/>
      <c r="D100" s="181" t="s">
        <v>39</v>
      </c>
      <c r="E100" s="194"/>
      <c r="F100" s="181" t="s">
        <v>191</v>
      </c>
      <c r="G100" s="36">
        <v>10</v>
      </c>
      <c r="H100" s="60" t="s">
        <v>192</v>
      </c>
      <c r="I100" s="180" t="s">
        <v>309</v>
      </c>
      <c r="J100" s="15"/>
      <c r="K100" s="15"/>
      <c r="L100" s="15"/>
      <c r="M100" s="15"/>
      <c r="N100" s="15"/>
      <c r="O100" s="15">
        <v>1</v>
      </c>
      <c r="P100" s="210"/>
      <c r="Q100" s="15">
        <v>0</v>
      </c>
      <c r="R100" s="15">
        <f t="shared" si="89"/>
        <v>1.6</v>
      </c>
      <c r="S100" s="15">
        <f t="shared" si="90"/>
        <v>3.2</v>
      </c>
      <c r="T100" s="15">
        <f t="shared" si="91"/>
        <v>4.8</v>
      </c>
      <c r="U100" s="15">
        <f t="shared" si="92"/>
        <v>9.6</v>
      </c>
      <c r="V100" s="15">
        <f t="shared" si="93"/>
        <v>16</v>
      </c>
      <c r="W100" s="13"/>
      <c r="X100" s="15">
        <f t="shared" si="95"/>
        <v>0</v>
      </c>
      <c r="Y100" s="15">
        <f t="shared" si="96"/>
        <v>0</v>
      </c>
      <c r="Z100" s="15">
        <f t="shared" si="97"/>
        <v>0</v>
      </c>
      <c r="AA100" s="15">
        <f t="shared" si="98"/>
        <v>0</v>
      </c>
      <c r="AB100" s="15">
        <f t="shared" si="94"/>
        <v>0</v>
      </c>
      <c r="AC100" s="15">
        <f t="shared" si="99"/>
        <v>16</v>
      </c>
      <c r="AD100" s="15">
        <f t="shared" si="73"/>
        <v>16</v>
      </c>
      <c r="AE100" s="226"/>
    </row>
    <row r="101" spans="1:31" ht="54" customHeight="1" x14ac:dyDescent="0.25">
      <c r="A101" s="189"/>
      <c r="B101" s="186"/>
      <c r="C101" s="196"/>
      <c r="D101" s="183"/>
      <c r="E101" s="196"/>
      <c r="F101" s="183"/>
      <c r="G101" s="36">
        <v>11</v>
      </c>
      <c r="H101" s="60" t="s">
        <v>193</v>
      </c>
      <c r="I101" s="180"/>
      <c r="J101" s="15"/>
      <c r="K101" s="15"/>
      <c r="L101" s="15"/>
      <c r="M101" s="15"/>
      <c r="N101" s="15"/>
      <c r="O101" s="15">
        <v>1</v>
      </c>
      <c r="P101" s="210"/>
      <c r="Q101" s="15">
        <v>0</v>
      </c>
      <c r="R101" s="15">
        <f t="shared" si="89"/>
        <v>1.6</v>
      </c>
      <c r="S101" s="15">
        <f t="shared" si="90"/>
        <v>3.2</v>
      </c>
      <c r="T101" s="15">
        <f t="shared" si="91"/>
        <v>4.8</v>
      </c>
      <c r="U101" s="15">
        <f t="shared" si="92"/>
        <v>9.6</v>
      </c>
      <c r="V101" s="15">
        <f t="shared" si="93"/>
        <v>16</v>
      </c>
      <c r="W101" s="13"/>
      <c r="X101" s="15">
        <f t="shared" si="95"/>
        <v>0</v>
      </c>
      <c r="Y101" s="15">
        <f t="shared" si="96"/>
        <v>0</v>
      </c>
      <c r="Z101" s="15">
        <f t="shared" si="97"/>
        <v>0</v>
      </c>
      <c r="AA101" s="15">
        <f t="shared" si="98"/>
        <v>0</v>
      </c>
      <c r="AB101" s="15">
        <f t="shared" si="94"/>
        <v>0</v>
      </c>
      <c r="AC101" s="15">
        <f t="shared" si="99"/>
        <v>16</v>
      </c>
      <c r="AD101" s="15">
        <f t="shared" si="73"/>
        <v>16</v>
      </c>
      <c r="AE101" s="226"/>
    </row>
    <row r="102" spans="1:31" ht="78" customHeight="1" x14ac:dyDescent="0.25">
      <c r="A102" s="192">
        <v>6</v>
      </c>
      <c r="B102" s="190" t="s">
        <v>40</v>
      </c>
      <c r="C102" s="194"/>
      <c r="D102" s="181" t="s">
        <v>41</v>
      </c>
      <c r="E102" s="194"/>
      <c r="F102" s="181" t="s">
        <v>194</v>
      </c>
      <c r="G102" s="59">
        <v>1</v>
      </c>
      <c r="H102" s="60" t="s">
        <v>349</v>
      </c>
      <c r="I102" s="180" t="s">
        <v>310</v>
      </c>
      <c r="J102" s="15"/>
      <c r="K102" s="15"/>
      <c r="L102" s="15"/>
      <c r="M102" s="15"/>
      <c r="N102" s="15"/>
      <c r="O102" s="15">
        <v>1</v>
      </c>
      <c r="P102" s="38"/>
      <c r="Q102" s="15">
        <v>0</v>
      </c>
      <c r="R102" s="15">
        <f>26*0.1</f>
        <v>2.6</v>
      </c>
      <c r="S102" s="15">
        <f>26*0.2</f>
        <v>5.2</v>
      </c>
      <c r="T102" s="15">
        <f>26*0.3</f>
        <v>7.8</v>
      </c>
      <c r="U102" s="15">
        <f>26*0.6</f>
        <v>15.6</v>
      </c>
      <c r="V102" s="15">
        <f>26*1</f>
        <v>26</v>
      </c>
      <c r="W102" s="13"/>
      <c r="X102" s="15">
        <f t="shared" si="95"/>
        <v>0</v>
      </c>
      <c r="Y102" s="15">
        <f t="shared" si="96"/>
        <v>0</v>
      </c>
      <c r="Z102" s="15">
        <f t="shared" si="97"/>
        <v>0</v>
      </c>
      <c r="AA102" s="15">
        <f t="shared" si="98"/>
        <v>0</v>
      </c>
      <c r="AB102" s="15">
        <f t="shared" si="94"/>
        <v>0</v>
      </c>
      <c r="AC102" s="15">
        <f t="shared" si="99"/>
        <v>26</v>
      </c>
      <c r="AD102" s="15">
        <f t="shared" si="73"/>
        <v>26</v>
      </c>
      <c r="AE102" s="226">
        <f>SUM(AD102:AD111)</f>
        <v>215</v>
      </c>
    </row>
    <row r="103" spans="1:31" ht="72" customHeight="1" x14ac:dyDescent="0.25">
      <c r="A103" s="198"/>
      <c r="B103" s="197"/>
      <c r="C103" s="196"/>
      <c r="D103" s="183"/>
      <c r="E103" s="196"/>
      <c r="F103" s="183"/>
      <c r="G103" s="36">
        <v>2</v>
      </c>
      <c r="H103" s="60" t="s">
        <v>362</v>
      </c>
      <c r="I103" s="180"/>
      <c r="J103" s="15"/>
      <c r="K103" s="15"/>
      <c r="L103" s="15"/>
      <c r="M103" s="15"/>
      <c r="N103" s="15"/>
      <c r="O103" s="15">
        <v>1</v>
      </c>
      <c r="P103" s="38"/>
      <c r="Q103" s="15">
        <v>0</v>
      </c>
      <c r="R103" s="15">
        <f>21*0.1</f>
        <v>2.1</v>
      </c>
      <c r="S103" s="15">
        <f>21*0.2</f>
        <v>4.2</v>
      </c>
      <c r="T103" s="15">
        <f>21*0.3</f>
        <v>6.3</v>
      </c>
      <c r="U103" s="15">
        <f>21*0.6</f>
        <v>12.6</v>
      </c>
      <c r="V103" s="15">
        <f>21*1</f>
        <v>21</v>
      </c>
      <c r="W103" s="13"/>
      <c r="X103" s="15">
        <f t="shared" si="95"/>
        <v>0</v>
      </c>
      <c r="Y103" s="15">
        <f t="shared" si="96"/>
        <v>0</v>
      </c>
      <c r="Z103" s="15">
        <f t="shared" si="97"/>
        <v>0</v>
      </c>
      <c r="AA103" s="15">
        <f t="shared" si="98"/>
        <v>0</v>
      </c>
      <c r="AB103" s="15">
        <f t="shared" si="94"/>
        <v>0</v>
      </c>
      <c r="AC103" s="15">
        <f t="shared" si="99"/>
        <v>21</v>
      </c>
      <c r="AD103" s="15">
        <f t="shared" si="73"/>
        <v>21</v>
      </c>
      <c r="AE103" s="226"/>
    </row>
    <row r="104" spans="1:31" ht="67.5" customHeight="1" x14ac:dyDescent="0.25">
      <c r="A104" s="198"/>
      <c r="B104" s="197"/>
      <c r="C104" s="194"/>
      <c r="D104" s="181" t="s">
        <v>42</v>
      </c>
      <c r="E104" s="194"/>
      <c r="F104" s="181" t="s">
        <v>195</v>
      </c>
      <c r="G104" s="36">
        <v>3</v>
      </c>
      <c r="H104" s="60" t="s">
        <v>196</v>
      </c>
      <c r="I104" s="180" t="s">
        <v>311</v>
      </c>
      <c r="J104" s="15"/>
      <c r="K104" s="15"/>
      <c r="L104" s="15"/>
      <c r="M104" s="15"/>
      <c r="N104" s="15"/>
      <c r="O104" s="15">
        <v>1</v>
      </c>
      <c r="P104" s="38"/>
      <c r="Q104" s="15">
        <v>0</v>
      </c>
      <c r="R104" s="15">
        <f>24*0.1</f>
        <v>2.4000000000000004</v>
      </c>
      <c r="S104" s="15">
        <f>24*0.2</f>
        <v>4.8000000000000007</v>
      </c>
      <c r="T104" s="15">
        <f>24*0.3</f>
        <v>7.1999999999999993</v>
      </c>
      <c r="U104" s="15">
        <f>24*0.6</f>
        <v>14.399999999999999</v>
      </c>
      <c r="V104" s="15">
        <f>24*1</f>
        <v>24</v>
      </c>
      <c r="W104" s="13"/>
      <c r="X104" s="15">
        <f t="shared" si="95"/>
        <v>0</v>
      </c>
      <c r="Y104" s="15">
        <f t="shared" si="96"/>
        <v>0</v>
      </c>
      <c r="Z104" s="15">
        <f t="shared" si="97"/>
        <v>0</v>
      </c>
      <c r="AA104" s="15">
        <f t="shared" si="98"/>
        <v>0</v>
      </c>
      <c r="AB104" s="15">
        <f t="shared" si="94"/>
        <v>0</v>
      </c>
      <c r="AC104" s="15">
        <f t="shared" si="99"/>
        <v>24</v>
      </c>
      <c r="AD104" s="15">
        <f t="shared" si="73"/>
        <v>24</v>
      </c>
      <c r="AE104" s="226"/>
    </row>
    <row r="105" spans="1:31" ht="72" customHeight="1" x14ac:dyDescent="0.25">
      <c r="A105" s="198"/>
      <c r="B105" s="197"/>
      <c r="C105" s="195"/>
      <c r="D105" s="182"/>
      <c r="E105" s="195"/>
      <c r="F105" s="182"/>
      <c r="G105" s="36">
        <v>4</v>
      </c>
      <c r="H105" s="60" t="s">
        <v>197</v>
      </c>
      <c r="I105" s="180"/>
      <c r="J105" s="15"/>
      <c r="K105" s="15"/>
      <c r="L105" s="15"/>
      <c r="M105" s="15"/>
      <c r="N105" s="15"/>
      <c r="O105" s="15">
        <v>1</v>
      </c>
      <c r="P105" s="38"/>
      <c r="Q105" s="15">
        <v>0</v>
      </c>
      <c r="R105" s="15">
        <f>21*0.1</f>
        <v>2.1</v>
      </c>
      <c r="S105" s="15">
        <f>21*0.2</f>
        <v>4.2</v>
      </c>
      <c r="T105" s="15">
        <f>21*0.3</f>
        <v>6.3</v>
      </c>
      <c r="U105" s="15">
        <f>21*0.6</f>
        <v>12.6</v>
      </c>
      <c r="V105" s="15">
        <f>21*1</f>
        <v>21</v>
      </c>
      <c r="W105" s="13"/>
      <c r="X105" s="15">
        <f t="shared" si="95"/>
        <v>0</v>
      </c>
      <c r="Y105" s="15">
        <f t="shared" si="96"/>
        <v>0</v>
      </c>
      <c r="Z105" s="15">
        <f t="shared" si="97"/>
        <v>0</v>
      </c>
      <c r="AA105" s="15">
        <f t="shared" si="98"/>
        <v>0</v>
      </c>
      <c r="AB105" s="15">
        <f t="shared" si="94"/>
        <v>0</v>
      </c>
      <c r="AC105" s="15">
        <f t="shared" si="99"/>
        <v>21</v>
      </c>
      <c r="AD105" s="15">
        <f t="shared" si="73"/>
        <v>21</v>
      </c>
      <c r="AE105" s="226"/>
    </row>
    <row r="106" spans="1:31" ht="78" customHeight="1" x14ac:dyDescent="0.25">
      <c r="A106" s="198"/>
      <c r="B106" s="197"/>
      <c r="C106" s="195"/>
      <c r="D106" s="182"/>
      <c r="E106" s="195"/>
      <c r="F106" s="182"/>
      <c r="G106" s="36">
        <v>5</v>
      </c>
      <c r="H106" s="60" t="s">
        <v>350</v>
      </c>
      <c r="I106" s="180"/>
      <c r="J106" s="15"/>
      <c r="K106" s="15"/>
      <c r="L106" s="15"/>
      <c r="M106" s="15"/>
      <c r="N106" s="15"/>
      <c r="O106" s="15">
        <v>1</v>
      </c>
      <c r="P106" s="38"/>
      <c r="Q106" s="15">
        <v>0</v>
      </c>
      <c r="R106" s="15">
        <f>20*0.1</f>
        <v>2</v>
      </c>
      <c r="S106" s="15">
        <f>20*0.2</f>
        <v>4</v>
      </c>
      <c r="T106" s="15">
        <f>20*0.3</f>
        <v>6</v>
      </c>
      <c r="U106" s="15">
        <f>20*0.6</f>
        <v>12</v>
      </c>
      <c r="V106" s="15">
        <f>20*1</f>
        <v>20</v>
      </c>
      <c r="W106" s="13"/>
      <c r="X106" s="15">
        <f t="shared" si="95"/>
        <v>0</v>
      </c>
      <c r="Y106" s="15">
        <f t="shared" si="96"/>
        <v>0</v>
      </c>
      <c r="Z106" s="15">
        <f t="shared" si="97"/>
        <v>0</v>
      </c>
      <c r="AA106" s="15">
        <f t="shared" si="98"/>
        <v>0</v>
      </c>
      <c r="AB106" s="15">
        <f t="shared" si="94"/>
        <v>0</v>
      </c>
      <c r="AC106" s="15">
        <f t="shared" si="99"/>
        <v>20</v>
      </c>
      <c r="AD106" s="15">
        <f t="shared" si="73"/>
        <v>20</v>
      </c>
      <c r="AE106" s="226"/>
    </row>
    <row r="107" spans="1:31" ht="57" customHeight="1" x14ac:dyDescent="0.25">
      <c r="A107" s="198"/>
      <c r="B107" s="197"/>
      <c r="C107" s="195"/>
      <c r="D107" s="182"/>
      <c r="E107" s="195"/>
      <c r="F107" s="182"/>
      <c r="G107" s="36">
        <v>6</v>
      </c>
      <c r="H107" s="60" t="s">
        <v>198</v>
      </c>
      <c r="I107" s="180"/>
      <c r="J107" s="15"/>
      <c r="K107" s="15"/>
      <c r="L107" s="15"/>
      <c r="M107" s="15"/>
      <c r="N107" s="15"/>
      <c r="O107" s="15">
        <v>1</v>
      </c>
      <c r="P107" s="38"/>
      <c r="Q107" s="15">
        <v>0</v>
      </c>
      <c r="R107" s="15">
        <f>23*0.1</f>
        <v>2.3000000000000003</v>
      </c>
      <c r="S107" s="15">
        <f>23*0.2</f>
        <v>4.6000000000000005</v>
      </c>
      <c r="T107" s="15">
        <f>23*0.3</f>
        <v>6.8999999999999995</v>
      </c>
      <c r="U107" s="15">
        <f>23*0.6</f>
        <v>13.799999999999999</v>
      </c>
      <c r="V107" s="15">
        <f>23*1</f>
        <v>23</v>
      </c>
      <c r="W107" s="13"/>
      <c r="X107" s="15">
        <f t="shared" si="95"/>
        <v>0</v>
      </c>
      <c r="Y107" s="15">
        <f t="shared" si="96"/>
        <v>0</v>
      </c>
      <c r="Z107" s="15">
        <f t="shared" si="97"/>
        <v>0</v>
      </c>
      <c r="AA107" s="15">
        <f t="shared" si="98"/>
        <v>0</v>
      </c>
      <c r="AB107" s="15">
        <f t="shared" si="94"/>
        <v>0</v>
      </c>
      <c r="AC107" s="15">
        <f t="shared" si="99"/>
        <v>23</v>
      </c>
      <c r="AD107" s="15">
        <f t="shared" si="73"/>
        <v>23</v>
      </c>
      <c r="AE107" s="226"/>
    </row>
    <row r="108" spans="1:31" ht="51.75" customHeight="1" x14ac:dyDescent="0.25">
      <c r="A108" s="198"/>
      <c r="B108" s="197"/>
      <c r="C108" s="195"/>
      <c r="D108" s="182"/>
      <c r="E108" s="195"/>
      <c r="F108" s="182"/>
      <c r="G108" s="36">
        <v>7</v>
      </c>
      <c r="H108" s="60" t="s">
        <v>199</v>
      </c>
      <c r="I108" s="180"/>
      <c r="J108" s="15"/>
      <c r="K108" s="15"/>
      <c r="L108" s="15"/>
      <c r="M108" s="15"/>
      <c r="N108" s="15"/>
      <c r="O108" s="15">
        <v>1</v>
      </c>
      <c r="P108" s="38"/>
      <c r="Q108" s="15">
        <v>0</v>
      </c>
      <c r="R108" s="15">
        <f t="shared" ref="R108:R111" si="100">20*0.1</f>
        <v>2</v>
      </c>
      <c r="S108" s="15">
        <f t="shared" ref="S108:S111" si="101">20*0.2</f>
        <v>4</v>
      </c>
      <c r="T108" s="15">
        <f t="shared" ref="T108:T111" si="102">20*0.3</f>
        <v>6</v>
      </c>
      <c r="U108" s="15">
        <f t="shared" ref="U108:U111" si="103">20*0.6</f>
        <v>12</v>
      </c>
      <c r="V108" s="15">
        <f t="shared" ref="V108:V111" si="104">20*1</f>
        <v>20</v>
      </c>
      <c r="W108" s="13"/>
      <c r="X108" s="15">
        <f t="shared" si="95"/>
        <v>0</v>
      </c>
      <c r="Y108" s="15">
        <f t="shared" si="96"/>
        <v>0</v>
      </c>
      <c r="Z108" s="15">
        <f t="shared" si="97"/>
        <v>0</v>
      </c>
      <c r="AA108" s="15">
        <f t="shared" si="98"/>
        <v>0</v>
      </c>
      <c r="AB108" s="15">
        <f t="shared" si="94"/>
        <v>0</v>
      </c>
      <c r="AC108" s="15">
        <f t="shared" si="99"/>
        <v>20</v>
      </c>
      <c r="AD108" s="15">
        <f t="shared" si="73"/>
        <v>20</v>
      </c>
      <c r="AE108" s="226"/>
    </row>
    <row r="109" spans="1:31" ht="78" customHeight="1" x14ac:dyDescent="0.25">
      <c r="A109" s="198"/>
      <c r="B109" s="197"/>
      <c r="C109" s="196"/>
      <c r="D109" s="183"/>
      <c r="E109" s="196"/>
      <c r="F109" s="183"/>
      <c r="G109" s="36">
        <v>8</v>
      </c>
      <c r="H109" s="60" t="s">
        <v>200</v>
      </c>
      <c r="I109" s="180"/>
      <c r="J109" s="15"/>
      <c r="K109" s="15"/>
      <c r="L109" s="15"/>
      <c r="M109" s="15"/>
      <c r="N109" s="15"/>
      <c r="O109" s="15">
        <v>1</v>
      </c>
      <c r="P109" s="38"/>
      <c r="Q109" s="15">
        <v>0</v>
      </c>
      <c r="R109" s="15">
        <f t="shared" si="100"/>
        <v>2</v>
      </c>
      <c r="S109" s="15">
        <f t="shared" si="101"/>
        <v>4</v>
      </c>
      <c r="T109" s="15">
        <f t="shared" si="102"/>
        <v>6</v>
      </c>
      <c r="U109" s="15">
        <f t="shared" si="103"/>
        <v>12</v>
      </c>
      <c r="V109" s="15">
        <f t="shared" si="104"/>
        <v>20</v>
      </c>
      <c r="W109" s="13"/>
      <c r="X109" s="15">
        <f t="shared" ref="X109:X116" si="105">J109*Q109</f>
        <v>0</v>
      </c>
      <c r="Y109" s="15">
        <f t="shared" ref="Y109:Y116" si="106">K109*R109</f>
        <v>0</v>
      </c>
      <c r="Z109" s="15">
        <f t="shared" ref="Z109:Z116" si="107">L109*S109</f>
        <v>0</v>
      </c>
      <c r="AA109" s="15">
        <f t="shared" ref="AA109:AA116" si="108">M109*T109</f>
        <v>0</v>
      </c>
      <c r="AB109" s="15">
        <f t="shared" ref="AB109:AB116" si="109">N109*U109</f>
        <v>0</v>
      </c>
      <c r="AC109" s="15">
        <f t="shared" ref="AC109:AC116" si="110">O109*V109</f>
        <v>20</v>
      </c>
      <c r="AD109" s="15">
        <f t="shared" ref="AD109:AD116" si="111">X109+Y109+Z109+AA109+AB109+AC109</f>
        <v>20</v>
      </c>
      <c r="AE109" s="226"/>
    </row>
    <row r="110" spans="1:31" ht="83.25" customHeight="1" x14ac:dyDescent="0.25">
      <c r="A110" s="198"/>
      <c r="B110" s="197"/>
      <c r="C110" s="194"/>
      <c r="D110" s="181" t="s">
        <v>43</v>
      </c>
      <c r="E110" s="194"/>
      <c r="F110" s="181" t="s">
        <v>351</v>
      </c>
      <c r="G110" s="36">
        <v>9</v>
      </c>
      <c r="H110" s="60" t="s">
        <v>363</v>
      </c>
      <c r="I110" s="180" t="s">
        <v>312</v>
      </c>
      <c r="J110" s="15"/>
      <c r="K110" s="15"/>
      <c r="L110" s="15"/>
      <c r="M110" s="15"/>
      <c r="N110" s="15"/>
      <c r="O110" s="15">
        <v>1</v>
      </c>
      <c r="P110" s="38"/>
      <c r="Q110" s="15">
        <v>0</v>
      </c>
      <c r="R110" s="15">
        <f t="shared" si="100"/>
        <v>2</v>
      </c>
      <c r="S110" s="15">
        <f t="shared" si="101"/>
        <v>4</v>
      </c>
      <c r="T110" s="15">
        <f t="shared" si="102"/>
        <v>6</v>
      </c>
      <c r="U110" s="15">
        <f t="shared" si="103"/>
        <v>12</v>
      </c>
      <c r="V110" s="15">
        <f t="shared" si="104"/>
        <v>20</v>
      </c>
      <c r="W110" s="13"/>
      <c r="X110" s="15">
        <f t="shared" si="105"/>
        <v>0</v>
      </c>
      <c r="Y110" s="15">
        <f t="shared" si="106"/>
        <v>0</v>
      </c>
      <c r="Z110" s="15">
        <f t="shared" si="107"/>
        <v>0</v>
      </c>
      <c r="AA110" s="15">
        <f t="shared" si="108"/>
        <v>0</v>
      </c>
      <c r="AB110" s="15">
        <f t="shared" si="109"/>
        <v>0</v>
      </c>
      <c r="AC110" s="15">
        <f t="shared" si="110"/>
        <v>20</v>
      </c>
      <c r="AD110" s="15">
        <f t="shared" si="111"/>
        <v>20</v>
      </c>
      <c r="AE110" s="226"/>
    </row>
    <row r="111" spans="1:31" ht="62.25" customHeight="1" x14ac:dyDescent="0.25">
      <c r="A111" s="193"/>
      <c r="B111" s="191"/>
      <c r="C111" s="196"/>
      <c r="D111" s="183"/>
      <c r="E111" s="196"/>
      <c r="F111" s="183"/>
      <c r="G111" s="36">
        <v>10</v>
      </c>
      <c r="H111" s="60" t="s">
        <v>201</v>
      </c>
      <c r="I111" s="180"/>
      <c r="J111" s="15"/>
      <c r="K111" s="15"/>
      <c r="L111" s="15"/>
      <c r="M111" s="15"/>
      <c r="N111" s="15"/>
      <c r="O111" s="15">
        <v>1</v>
      </c>
      <c r="P111" s="38"/>
      <c r="Q111" s="15">
        <v>0</v>
      </c>
      <c r="R111" s="15">
        <f t="shared" si="100"/>
        <v>2</v>
      </c>
      <c r="S111" s="15">
        <f t="shared" si="101"/>
        <v>4</v>
      </c>
      <c r="T111" s="15">
        <f t="shared" si="102"/>
        <v>6</v>
      </c>
      <c r="U111" s="15">
        <f t="shared" si="103"/>
        <v>12</v>
      </c>
      <c r="V111" s="15">
        <f t="shared" si="104"/>
        <v>20</v>
      </c>
      <c r="W111" s="13"/>
      <c r="X111" s="15">
        <f t="shared" si="105"/>
        <v>0</v>
      </c>
      <c r="Y111" s="15">
        <f t="shared" si="106"/>
        <v>0</v>
      </c>
      <c r="Z111" s="15">
        <f t="shared" si="107"/>
        <v>0</v>
      </c>
      <c r="AA111" s="15">
        <f t="shared" si="108"/>
        <v>0</v>
      </c>
      <c r="AB111" s="15">
        <f t="shared" si="109"/>
        <v>0</v>
      </c>
      <c r="AC111" s="15">
        <f t="shared" si="110"/>
        <v>20</v>
      </c>
      <c r="AD111" s="15">
        <f t="shared" si="111"/>
        <v>20</v>
      </c>
      <c r="AE111" s="226"/>
    </row>
    <row r="112" spans="1:31" ht="98.25" customHeight="1" x14ac:dyDescent="0.25">
      <c r="A112" s="192">
        <v>7</v>
      </c>
      <c r="B112" s="190" t="s">
        <v>44</v>
      </c>
      <c r="C112" s="194"/>
      <c r="D112" s="181" t="s">
        <v>202</v>
      </c>
      <c r="E112" s="194"/>
      <c r="F112" s="181" t="s">
        <v>203</v>
      </c>
      <c r="G112" s="36">
        <v>1</v>
      </c>
      <c r="H112" s="60" t="s">
        <v>204</v>
      </c>
      <c r="I112" s="180" t="s">
        <v>313</v>
      </c>
      <c r="J112" s="15"/>
      <c r="K112" s="15"/>
      <c r="L112" s="15"/>
      <c r="M112" s="15"/>
      <c r="N112" s="15"/>
      <c r="O112" s="15">
        <v>1</v>
      </c>
      <c r="P112" s="38"/>
      <c r="Q112" s="15">
        <v>0</v>
      </c>
      <c r="R112" s="15">
        <f>22*0.1</f>
        <v>2.2000000000000002</v>
      </c>
      <c r="S112" s="15">
        <f>22*0.2</f>
        <v>4.4000000000000004</v>
      </c>
      <c r="T112" s="15">
        <f>22*0.3</f>
        <v>6.6</v>
      </c>
      <c r="U112" s="15">
        <f>22*0.6</f>
        <v>13.2</v>
      </c>
      <c r="V112" s="15">
        <f>22*1</f>
        <v>22</v>
      </c>
      <c r="W112" s="13"/>
      <c r="X112" s="15">
        <f t="shared" si="105"/>
        <v>0</v>
      </c>
      <c r="Y112" s="15">
        <f t="shared" si="106"/>
        <v>0</v>
      </c>
      <c r="Z112" s="15">
        <f t="shared" si="107"/>
        <v>0</v>
      </c>
      <c r="AA112" s="15">
        <f t="shared" si="108"/>
        <v>0</v>
      </c>
      <c r="AB112" s="15">
        <f t="shared" si="109"/>
        <v>0</v>
      </c>
      <c r="AC112" s="15">
        <f t="shared" si="110"/>
        <v>22</v>
      </c>
      <c r="AD112" s="15">
        <f t="shared" si="111"/>
        <v>22</v>
      </c>
      <c r="AE112" s="226">
        <f>SUM(AD112:AD121)</f>
        <v>200</v>
      </c>
    </row>
    <row r="113" spans="1:31" ht="55.5" customHeight="1" x14ac:dyDescent="0.25">
      <c r="A113" s="198"/>
      <c r="B113" s="197"/>
      <c r="C113" s="195"/>
      <c r="D113" s="182"/>
      <c r="E113" s="195"/>
      <c r="F113" s="182"/>
      <c r="G113" s="36">
        <v>2</v>
      </c>
      <c r="H113" s="60" t="s">
        <v>205</v>
      </c>
      <c r="I113" s="180"/>
      <c r="J113" s="15"/>
      <c r="K113" s="15"/>
      <c r="L113" s="15"/>
      <c r="M113" s="15"/>
      <c r="N113" s="15"/>
      <c r="O113" s="15">
        <v>1</v>
      </c>
      <c r="P113" s="38"/>
      <c r="Q113" s="15">
        <v>0</v>
      </c>
      <c r="R113" s="15">
        <f>22*0.1</f>
        <v>2.2000000000000002</v>
      </c>
      <c r="S113" s="15">
        <f>22*0.2</f>
        <v>4.4000000000000004</v>
      </c>
      <c r="T113" s="15">
        <f>22*0.3</f>
        <v>6.6</v>
      </c>
      <c r="U113" s="15">
        <f>22*0.6</f>
        <v>13.2</v>
      </c>
      <c r="V113" s="15">
        <f>22*1</f>
        <v>22</v>
      </c>
      <c r="W113" s="13"/>
      <c r="X113" s="15">
        <f t="shared" si="105"/>
        <v>0</v>
      </c>
      <c r="Y113" s="15">
        <f t="shared" si="106"/>
        <v>0</v>
      </c>
      <c r="Z113" s="15">
        <f t="shared" si="107"/>
        <v>0</v>
      </c>
      <c r="AA113" s="15">
        <f t="shared" si="108"/>
        <v>0</v>
      </c>
      <c r="AB113" s="15">
        <f t="shared" si="109"/>
        <v>0</v>
      </c>
      <c r="AC113" s="15">
        <f t="shared" si="110"/>
        <v>22</v>
      </c>
      <c r="AD113" s="15">
        <f t="shared" si="111"/>
        <v>22</v>
      </c>
      <c r="AE113" s="226"/>
    </row>
    <row r="114" spans="1:31" ht="72.75" customHeight="1" x14ac:dyDescent="0.25">
      <c r="A114" s="198"/>
      <c r="B114" s="197"/>
      <c r="C114" s="195"/>
      <c r="D114" s="182"/>
      <c r="E114" s="195"/>
      <c r="F114" s="182"/>
      <c r="G114" s="36">
        <v>3</v>
      </c>
      <c r="H114" s="60" t="s">
        <v>206</v>
      </c>
      <c r="I114" s="180"/>
      <c r="J114" s="15"/>
      <c r="K114" s="15"/>
      <c r="L114" s="15"/>
      <c r="M114" s="15"/>
      <c r="N114" s="15"/>
      <c r="O114" s="15">
        <v>1</v>
      </c>
      <c r="P114" s="38"/>
      <c r="Q114" s="15">
        <v>0</v>
      </c>
      <c r="R114" s="15">
        <f t="shared" ref="R114:R115" si="112">20*0.1</f>
        <v>2</v>
      </c>
      <c r="S114" s="15">
        <f t="shared" ref="S114:S115" si="113">20*0.2</f>
        <v>4</v>
      </c>
      <c r="T114" s="15">
        <f t="shared" ref="T114:T115" si="114">20*0.3</f>
        <v>6</v>
      </c>
      <c r="U114" s="15">
        <f t="shared" ref="U114:U115" si="115">20*0.6</f>
        <v>12</v>
      </c>
      <c r="V114" s="15">
        <f t="shared" ref="V114:V115" si="116">20*1</f>
        <v>20</v>
      </c>
      <c r="W114" s="13"/>
      <c r="X114" s="15">
        <f t="shared" si="105"/>
        <v>0</v>
      </c>
      <c r="Y114" s="15">
        <f t="shared" si="106"/>
        <v>0</v>
      </c>
      <c r="Z114" s="15">
        <f t="shared" si="107"/>
        <v>0</v>
      </c>
      <c r="AA114" s="15">
        <f t="shared" si="108"/>
        <v>0</v>
      </c>
      <c r="AB114" s="15">
        <f t="shared" si="109"/>
        <v>0</v>
      </c>
      <c r="AC114" s="15">
        <f t="shared" si="110"/>
        <v>20</v>
      </c>
      <c r="AD114" s="15">
        <f t="shared" si="111"/>
        <v>20</v>
      </c>
      <c r="AE114" s="226"/>
    </row>
    <row r="115" spans="1:31" ht="78" customHeight="1" x14ac:dyDescent="0.25">
      <c r="A115" s="198"/>
      <c r="B115" s="197"/>
      <c r="C115" s="196"/>
      <c r="D115" s="183"/>
      <c r="E115" s="196"/>
      <c r="F115" s="183"/>
      <c r="G115" s="36">
        <v>4</v>
      </c>
      <c r="H115" s="60" t="s">
        <v>207</v>
      </c>
      <c r="I115" s="180"/>
      <c r="J115" s="15"/>
      <c r="K115" s="15"/>
      <c r="L115" s="15"/>
      <c r="M115" s="15"/>
      <c r="N115" s="15"/>
      <c r="O115" s="15">
        <v>1</v>
      </c>
      <c r="P115" s="38"/>
      <c r="Q115" s="15">
        <v>0</v>
      </c>
      <c r="R115" s="15">
        <f t="shared" si="112"/>
        <v>2</v>
      </c>
      <c r="S115" s="15">
        <f t="shared" si="113"/>
        <v>4</v>
      </c>
      <c r="T115" s="15">
        <f t="shared" si="114"/>
        <v>6</v>
      </c>
      <c r="U115" s="15">
        <f t="shared" si="115"/>
        <v>12</v>
      </c>
      <c r="V115" s="15">
        <f t="shared" si="116"/>
        <v>20</v>
      </c>
      <c r="W115" s="13"/>
      <c r="X115" s="15">
        <f t="shared" si="105"/>
        <v>0</v>
      </c>
      <c r="Y115" s="15">
        <f t="shared" si="106"/>
        <v>0</v>
      </c>
      <c r="Z115" s="15">
        <f t="shared" si="107"/>
        <v>0</v>
      </c>
      <c r="AA115" s="15">
        <f t="shared" si="108"/>
        <v>0</v>
      </c>
      <c r="AB115" s="15">
        <f t="shared" si="109"/>
        <v>0</v>
      </c>
      <c r="AC115" s="15">
        <f t="shared" si="110"/>
        <v>20</v>
      </c>
      <c r="AD115" s="15">
        <f t="shared" si="111"/>
        <v>20</v>
      </c>
      <c r="AE115" s="226"/>
    </row>
    <row r="116" spans="1:31" ht="53.25" customHeight="1" x14ac:dyDescent="0.25">
      <c r="A116" s="198"/>
      <c r="B116" s="197"/>
      <c r="C116" s="194"/>
      <c r="D116" s="181" t="s">
        <v>45</v>
      </c>
      <c r="E116" s="194"/>
      <c r="F116" s="181" t="s">
        <v>208</v>
      </c>
      <c r="G116" s="36">
        <v>5</v>
      </c>
      <c r="H116" s="60" t="s">
        <v>364</v>
      </c>
      <c r="I116" s="180" t="s">
        <v>314</v>
      </c>
      <c r="J116" s="15"/>
      <c r="K116" s="15"/>
      <c r="L116" s="15"/>
      <c r="M116" s="15"/>
      <c r="N116" s="15"/>
      <c r="O116" s="15">
        <v>1</v>
      </c>
      <c r="P116" s="38"/>
      <c r="Q116" s="15">
        <v>0</v>
      </c>
      <c r="R116" s="15">
        <f>22*0.1</f>
        <v>2.2000000000000002</v>
      </c>
      <c r="S116" s="15">
        <f>22*0.2</f>
        <v>4.4000000000000004</v>
      </c>
      <c r="T116" s="15">
        <f>22*0.3</f>
        <v>6.6</v>
      </c>
      <c r="U116" s="15">
        <f>22*0.6</f>
        <v>13.2</v>
      </c>
      <c r="V116" s="15">
        <f>22*1</f>
        <v>22</v>
      </c>
      <c r="W116" s="13"/>
      <c r="X116" s="15">
        <f t="shared" si="105"/>
        <v>0</v>
      </c>
      <c r="Y116" s="15">
        <f t="shared" si="106"/>
        <v>0</v>
      </c>
      <c r="Z116" s="15">
        <f t="shared" si="107"/>
        <v>0</v>
      </c>
      <c r="AA116" s="15">
        <f t="shared" si="108"/>
        <v>0</v>
      </c>
      <c r="AB116" s="15">
        <f t="shared" si="109"/>
        <v>0</v>
      </c>
      <c r="AC116" s="15">
        <f t="shared" si="110"/>
        <v>22</v>
      </c>
      <c r="AD116" s="15">
        <f t="shared" si="111"/>
        <v>22</v>
      </c>
      <c r="AE116" s="226"/>
    </row>
    <row r="117" spans="1:31" ht="78" customHeight="1" x14ac:dyDescent="0.25">
      <c r="A117" s="198"/>
      <c r="B117" s="197"/>
      <c r="C117" s="195"/>
      <c r="D117" s="182"/>
      <c r="E117" s="195"/>
      <c r="F117" s="182"/>
      <c r="G117" s="36">
        <v>6</v>
      </c>
      <c r="H117" s="60" t="s">
        <v>365</v>
      </c>
      <c r="I117" s="180"/>
      <c r="J117" s="15"/>
      <c r="K117" s="15"/>
      <c r="L117" s="15"/>
      <c r="M117" s="15"/>
      <c r="N117" s="15"/>
      <c r="O117" s="15">
        <v>1</v>
      </c>
      <c r="P117" s="38"/>
      <c r="Q117" s="15">
        <v>0</v>
      </c>
      <c r="R117" s="15">
        <f>12*0.1</f>
        <v>1.2000000000000002</v>
      </c>
      <c r="S117" s="15">
        <f>12*0.2</f>
        <v>2.4000000000000004</v>
      </c>
      <c r="T117" s="15">
        <f>12*0.3</f>
        <v>3.5999999999999996</v>
      </c>
      <c r="U117" s="15">
        <f>12*0.6</f>
        <v>7.1999999999999993</v>
      </c>
      <c r="V117" s="15">
        <f>12*1</f>
        <v>12</v>
      </c>
      <c r="W117" s="13"/>
      <c r="X117" s="15">
        <f t="shared" ref="X117:X124" si="117">J117*Q117</f>
        <v>0</v>
      </c>
      <c r="Y117" s="15">
        <f t="shared" ref="Y117:Y124" si="118">K117*R117</f>
        <v>0</v>
      </c>
      <c r="Z117" s="15">
        <f t="shared" ref="Z117:Z124" si="119">L117*S117</f>
        <v>0</v>
      </c>
      <c r="AA117" s="15">
        <f t="shared" ref="AA117:AA124" si="120">M117*T117</f>
        <v>0</v>
      </c>
      <c r="AB117" s="15">
        <f t="shared" ref="AB117:AB124" si="121">N117*U117</f>
        <v>0</v>
      </c>
      <c r="AC117" s="15">
        <f t="shared" ref="AC117:AC124" si="122">O117*V117</f>
        <v>12</v>
      </c>
      <c r="AD117" s="15">
        <f t="shared" ref="AD117:AD124" si="123">X117+Y117+Z117+AA117+AB117+AC117</f>
        <v>12</v>
      </c>
      <c r="AE117" s="226"/>
    </row>
    <row r="118" spans="1:31" ht="64.5" customHeight="1" x14ac:dyDescent="0.25">
      <c r="A118" s="198"/>
      <c r="B118" s="197"/>
      <c r="C118" s="196"/>
      <c r="D118" s="183"/>
      <c r="E118" s="196"/>
      <c r="F118" s="183"/>
      <c r="G118" s="36">
        <v>7</v>
      </c>
      <c r="H118" s="60" t="s">
        <v>209</v>
      </c>
      <c r="I118" s="180"/>
      <c r="J118" s="15"/>
      <c r="K118" s="15"/>
      <c r="L118" s="15"/>
      <c r="M118" s="15"/>
      <c r="N118" s="15"/>
      <c r="O118" s="15">
        <v>1</v>
      </c>
      <c r="P118" s="38"/>
      <c r="Q118" s="15">
        <v>0</v>
      </c>
      <c r="R118" s="15">
        <f>22*0.1</f>
        <v>2.2000000000000002</v>
      </c>
      <c r="S118" s="15">
        <f>22*0.2</f>
        <v>4.4000000000000004</v>
      </c>
      <c r="T118" s="15">
        <f>22*0.3</f>
        <v>6.6</v>
      </c>
      <c r="U118" s="15">
        <f>22*0.6</f>
        <v>13.2</v>
      </c>
      <c r="V118" s="15">
        <f>22*1</f>
        <v>22</v>
      </c>
      <c r="W118" s="13"/>
      <c r="X118" s="15">
        <f t="shared" si="117"/>
        <v>0</v>
      </c>
      <c r="Y118" s="15">
        <f t="shared" si="118"/>
        <v>0</v>
      </c>
      <c r="Z118" s="15">
        <f t="shared" si="119"/>
        <v>0</v>
      </c>
      <c r="AA118" s="15">
        <f t="shared" si="120"/>
        <v>0</v>
      </c>
      <c r="AB118" s="15">
        <f t="shared" si="121"/>
        <v>0</v>
      </c>
      <c r="AC118" s="15">
        <f t="shared" si="122"/>
        <v>22</v>
      </c>
      <c r="AD118" s="15">
        <f t="shared" si="123"/>
        <v>22</v>
      </c>
      <c r="AE118" s="226"/>
    </row>
    <row r="119" spans="1:31" ht="92.25" customHeight="1" x14ac:dyDescent="0.25">
      <c r="A119" s="198"/>
      <c r="B119" s="197"/>
      <c r="C119" s="194"/>
      <c r="D119" s="181" t="s">
        <v>46</v>
      </c>
      <c r="E119" s="194"/>
      <c r="F119" s="181" t="s">
        <v>210</v>
      </c>
      <c r="G119" s="36">
        <v>8</v>
      </c>
      <c r="H119" s="60" t="s">
        <v>211</v>
      </c>
      <c r="I119" s="181"/>
      <c r="J119" s="15"/>
      <c r="K119" s="15"/>
      <c r="L119" s="15"/>
      <c r="M119" s="15"/>
      <c r="N119" s="15"/>
      <c r="O119" s="15">
        <v>1</v>
      </c>
      <c r="P119" s="38"/>
      <c r="Q119" s="15">
        <v>0</v>
      </c>
      <c r="R119" s="15">
        <f t="shared" ref="R119:R121" si="124">20*0.1</f>
        <v>2</v>
      </c>
      <c r="S119" s="15">
        <f t="shared" ref="S119:S121" si="125">20*0.2</f>
        <v>4</v>
      </c>
      <c r="T119" s="15">
        <f t="shared" ref="T119:T121" si="126">20*0.3</f>
        <v>6</v>
      </c>
      <c r="U119" s="15">
        <f t="shared" ref="U119:U121" si="127">20*0.6</f>
        <v>12</v>
      </c>
      <c r="V119" s="15">
        <f t="shared" ref="V119:V121" si="128">20*1</f>
        <v>20</v>
      </c>
      <c r="W119" s="13"/>
      <c r="X119" s="15">
        <f t="shared" si="117"/>
        <v>0</v>
      </c>
      <c r="Y119" s="15">
        <f t="shared" si="118"/>
        <v>0</v>
      </c>
      <c r="Z119" s="15">
        <f t="shared" si="119"/>
        <v>0</v>
      </c>
      <c r="AA119" s="15">
        <f t="shared" si="120"/>
        <v>0</v>
      </c>
      <c r="AB119" s="15">
        <f t="shared" si="121"/>
        <v>0</v>
      </c>
      <c r="AC119" s="15">
        <f t="shared" si="122"/>
        <v>20</v>
      </c>
      <c r="AD119" s="15">
        <f t="shared" si="123"/>
        <v>20</v>
      </c>
      <c r="AE119" s="226"/>
    </row>
    <row r="120" spans="1:31" ht="117" customHeight="1" x14ac:dyDescent="0.25">
      <c r="A120" s="198"/>
      <c r="B120" s="197"/>
      <c r="C120" s="195"/>
      <c r="D120" s="182"/>
      <c r="E120" s="195"/>
      <c r="F120" s="182"/>
      <c r="G120" s="36">
        <v>9</v>
      </c>
      <c r="H120" s="60" t="s">
        <v>212</v>
      </c>
      <c r="I120" s="182"/>
      <c r="J120" s="15"/>
      <c r="K120" s="15"/>
      <c r="L120" s="15"/>
      <c r="M120" s="15"/>
      <c r="N120" s="15"/>
      <c r="O120" s="15">
        <v>1</v>
      </c>
      <c r="P120" s="38"/>
      <c r="Q120" s="15">
        <v>0</v>
      </c>
      <c r="R120" s="15">
        <f t="shared" si="124"/>
        <v>2</v>
      </c>
      <c r="S120" s="15">
        <f t="shared" si="125"/>
        <v>4</v>
      </c>
      <c r="T120" s="15">
        <f t="shared" si="126"/>
        <v>6</v>
      </c>
      <c r="U120" s="15">
        <f t="shared" si="127"/>
        <v>12</v>
      </c>
      <c r="V120" s="15">
        <f t="shared" si="128"/>
        <v>20</v>
      </c>
      <c r="W120" s="13"/>
      <c r="X120" s="15">
        <f t="shared" si="117"/>
        <v>0</v>
      </c>
      <c r="Y120" s="15">
        <f t="shared" si="118"/>
        <v>0</v>
      </c>
      <c r="Z120" s="15">
        <f t="shared" si="119"/>
        <v>0</v>
      </c>
      <c r="AA120" s="15">
        <f t="shared" si="120"/>
        <v>0</v>
      </c>
      <c r="AB120" s="15">
        <f t="shared" si="121"/>
        <v>0</v>
      </c>
      <c r="AC120" s="15">
        <f t="shared" si="122"/>
        <v>20</v>
      </c>
      <c r="AD120" s="15">
        <f t="shared" si="123"/>
        <v>20</v>
      </c>
      <c r="AE120" s="226"/>
    </row>
    <row r="121" spans="1:31" ht="78" customHeight="1" x14ac:dyDescent="0.25">
      <c r="A121" s="193"/>
      <c r="B121" s="191"/>
      <c r="C121" s="196"/>
      <c r="D121" s="183"/>
      <c r="E121" s="196"/>
      <c r="F121" s="183"/>
      <c r="G121" s="36">
        <v>10</v>
      </c>
      <c r="H121" s="60" t="s">
        <v>213</v>
      </c>
      <c r="I121" s="183"/>
      <c r="J121" s="15"/>
      <c r="K121" s="15"/>
      <c r="L121" s="15"/>
      <c r="M121" s="15"/>
      <c r="N121" s="15"/>
      <c r="O121" s="15">
        <v>1</v>
      </c>
      <c r="P121" s="38"/>
      <c r="Q121" s="15">
        <v>0</v>
      </c>
      <c r="R121" s="15">
        <f t="shared" si="124"/>
        <v>2</v>
      </c>
      <c r="S121" s="15">
        <f t="shared" si="125"/>
        <v>4</v>
      </c>
      <c r="T121" s="15">
        <f t="shared" si="126"/>
        <v>6</v>
      </c>
      <c r="U121" s="15">
        <f t="shared" si="127"/>
        <v>12</v>
      </c>
      <c r="V121" s="15">
        <f t="shared" si="128"/>
        <v>20</v>
      </c>
      <c r="W121" s="13"/>
      <c r="X121" s="15">
        <f t="shared" si="117"/>
        <v>0</v>
      </c>
      <c r="Y121" s="15">
        <f t="shared" si="118"/>
        <v>0</v>
      </c>
      <c r="Z121" s="15">
        <f t="shared" si="119"/>
        <v>0</v>
      </c>
      <c r="AA121" s="15">
        <f t="shared" si="120"/>
        <v>0</v>
      </c>
      <c r="AB121" s="15">
        <f t="shared" si="121"/>
        <v>0</v>
      </c>
      <c r="AC121" s="15">
        <f t="shared" si="122"/>
        <v>20</v>
      </c>
      <c r="AD121" s="15">
        <f t="shared" si="123"/>
        <v>20</v>
      </c>
      <c r="AE121" s="226"/>
    </row>
    <row r="122" spans="1:31" ht="72" customHeight="1" x14ac:dyDescent="0.25">
      <c r="A122" s="192">
        <v>8</v>
      </c>
      <c r="B122" s="190" t="s">
        <v>47</v>
      </c>
      <c r="C122" s="194"/>
      <c r="D122" s="181" t="s">
        <v>214</v>
      </c>
      <c r="E122" s="194"/>
      <c r="F122" s="181" t="s">
        <v>215</v>
      </c>
      <c r="G122" s="36">
        <v>1</v>
      </c>
      <c r="H122" s="60" t="s">
        <v>216</v>
      </c>
      <c r="I122" s="180" t="s">
        <v>315</v>
      </c>
      <c r="J122" s="15"/>
      <c r="K122" s="15"/>
      <c r="L122" s="15"/>
      <c r="M122" s="15"/>
      <c r="N122" s="15"/>
      <c r="O122" s="15">
        <v>1</v>
      </c>
      <c r="P122" s="38"/>
      <c r="Q122" s="15">
        <v>0</v>
      </c>
      <c r="R122" s="15">
        <f>13*0.1</f>
        <v>1.3</v>
      </c>
      <c r="S122" s="15">
        <f>13*0.2</f>
        <v>2.6</v>
      </c>
      <c r="T122" s="15">
        <f>13*0.3</f>
        <v>3.9</v>
      </c>
      <c r="U122" s="15">
        <f>13*0.6</f>
        <v>7.8</v>
      </c>
      <c r="V122" s="15">
        <f>13*1</f>
        <v>13</v>
      </c>
      <c r="W122" s="13"/>
      <c r="X122" s="15">
        <f t="shared" si="117"/>
        <v>0</v>
      </c>
      <c r="Y122" s="15">
        <f t="shared" si="118"/>
        <v>0</v>
      </c>
      <c r="Z122" s="15">
        <f t="shared" si="119"/>
        <v>0</v>
      </c>
      <c r="AA122" s="15">
        <f t="shared" si="120"/>
        <v>0</v>
      </c>
      <c r="AB122" s="15">
        <f t="shared" si="121"/>
        <v>0</v>
      </c>
      <c r="AC122" s="15">
        <f t="shared" si="122"/>
        <v>13</v>
      </c>
      <c r="AD122" s="15">
        <f t="shared" si="123"/>
        <v>13</v>
      </c>
      <c r="AE122" s="226">
        <f>SUM(AD122:AD127)</f>
        <v>80</v>
      </c>
    </row>
    <row r="123" spans="1:31" ht="62.25" customHeight="1" x14ac:dyDescent="0.25">
      <c r="A123" s="198"/>
      <c r="B123" s="197"/>
      <c r="C123" s="196"/>
      <c r="D123" s="183"/>
      <c r="E123" s="196"/>
      <c r="F123" s="183"/>
      <c r="G123" s="36">
        <v>2</v>
      </c>
      <c r="H123" s="60" t="s">
        <v>217</v>
      </c>
      <c r="I123" s="180"/>
      <c r="J123" s="15"/>
      <c r="K123" s="15"/>
      <c r="L123" s="15"/>
      <c r="M123" s="15"/>
      <c r="N123" s="15"/>
      <c r="O123" s="15">
        <v>1</v>
      </c>
      <c r="P123" s="38"/>
      <c r="Q123" s="15">
        <v>0</v>
      </c>
      <c r="R123" s="15">
        <f>13*0.1</f>
        <v>1.3</v>
      </c>
      <c r="S123" s="15">
        <f>13*0.2</f>
        <v>2.6</v>
      </c>
      <c r="T123" s="15">
        <f>13*0.3</f>
        <v>3.9</v>
      </c>
      <c r="U123" s="15">
        <f>13*0.6</f>
        <v>7.8</v>
      </c>
      <c r="V123" s="15">
        <f>13*1</f>
        <v>13</v>
      </c>
      <c r="W123" s="13"/>
      <c r="X123" s="15">
        <f t="shared" si="117"/>
        <v>0</v>
      </c>
      <c r="Y123" s="15">
        <f t="shared" si="118"/>
        <v>0</v>
      </c>
      <c r="Z123" s="15">
        <f t="shared" si="119"/>
        <v>0</v>
      </c>
      <c r="AA123" s="15">
        <f t="shared" si="120"/>
        <v>0</v>
      </c>
      <c r="AB123" s="15">
        <f t="shared" si="121"/>
        <v>0</v>
      </c>
      <c r="AC123" s="15">
        <f t="shared" si="122"/>
        <v>13</v>
      </c>
      <c r="AD123" s="15">
        <f t="shared" si="123"/>
        <v>13</v>
      </c>
      <c r="AE123" s="226"/>
    </row>
    <row r="124" spans="1:31" ht="66.75" customHeight="1" x14ac:dyDescent="0.25">
      <c r="A124" s="198"/>
      <c r="B124" s="197"/>
      <c r="C124" s="194"/>
      <c r="D124" s="181" t="s">
        <v>48</v>
      </c>
      <c r="E124" s="194"/>
      <c r="F124" s="181" t="s">
        <v>218</v>
      </c>
      <c r="G124" s="36">
        <v>3</v>
      </c>
      <c r="H124" s="60" t="s">
        <v>219</v>
      </c>
      <c r="I124" s="180" t="s">
        <v>316</v>
      </c>
      <c r="J124" s="15"/>
      <c r="K124" s="15"/>
      <c r="L124" s="15"/>
      <c r="M124" s="15"/>
      <c r="N124" s="15"/>
      <c r="O124" s="15">
        <v>1</v>
      </c>
      <c r="P124" s="38"/>
      <c r="Q124" s="15">
        <v>0</v>
      </c>
      <c r="R124" s="15">
        <f>14*0.1</f>
        <v>1.4000000000000001</v>
      </c>
      <c r="S124" s="15">
        <f>14*0.2</f>
        <v>2.8000000000000003</v>
      </c>
      <c r="T124" s="15">
        <f>14*0.3</f>
        <v>4.2</v>
      </c>
      <c r="U124" s="15">
        <f>14*0.6</f>
        <v>8.4</v>
      </c>
      <c r="V124" s="15">
        <f>14*1</f>
        <v>14</v>
      </c>
      <c r="W124" s="13"/>
      <c r="X124" s="15">
        <f t="shared" si="117"/>
        <v>0</v>
      </c>
      <c r="Y124" s="15">
        <f t="shared" si="118"/>
        <v>0</v>
      </c>
      <c r="Z124" s="15">
        <f t="shared" si="119"/>
        <v>0</v>
      </c>
      <c r="AA124" s="15">
        <f t="shared" si="120"/>
        <v>0</v>
      </c>
      <c r="AB124" s="15">
        <f t="shared" si="121"/>
        <v>0</v>
      </c>
      <c r="AC124" s="15">
        <f t="shared" si="122"/>
        <v>14</v>
      </c>
      <c r="AD124" s="15">
        <f t="shared" si="123"/>
        <v>14</v>
      </c>
      <c r="AE124" s="226"/>
    </row>
    <row r="125" spans="1:31" ht="78" customHeight="1" x14ac:dyDescent="0.25">
      <c r="A125" s="198"/>
      <c r="B125" s="197"/>
      <c r="C125" s="195"/>
      <c r="D125" s="182"/>
      <c r="E125" s="195"/>
      <c r="F125" s="182"/>
      <c r="G125" s="36">
        <v>4</v>
      </c>
      <c r="H125" s="60" t="s">
        <v>220</v>
      </c>
      <c r="I125" s="180"/>
      <c r="J125" s="15"/>
      <c r="K125" s="15"/>
      <c r="L125" s="15"/>
      <c r="M125" s="15"/>
      <c r="N125" s="15"/>
      <c r="O125" s="15">
        <v>1</v>
      </c>
      <c r="P125" s="38"/>
      <c r="Q125" s="15">
        <v>0</v>
      </c>
      <c r="R125" s="15">
        <f>14*0.1</f>
        <v>1.4000000000000001</v>
      </c>
      <c r="S125" s="15">
        <f>14*0.2</f>
        <v>2.8000000000000003</v>
      </c>
      <c r="T125" s="15">
        <f>14*0.3</f>
        <v>4.2</v>
      </c>
      <c r="U125" s="15">
        <f>14*0.6</f>
        <v>8.4</v>
      </c>
      <c r="V125" s="15">
        <f>14*1</f>
        <v>14</v>
      </c>
      <c r="W125" s="13"/>
      <c r="X125" s="15">
        <f t="shared" ref="X125:X133" si="129">J125*Q125</f>
        <v>0</v>
      </c>
      <c r="Y125" s="15">
        <f t="shared" ref="Y125:Y133" si="130">K125*R125</f>
        <v>0</v>
      </c>
      <c r="Z125" s="15">
        <f t="shared" ref="Z125:Z133" si="131">L125*S125</f>
        <v>0</v>
      </c>
      <c r="AA125" s="15">
        <f t="shared" ref="AA125:AA133" si="132">M125*T125</f>
        <v>0</v>
      </c>
      <c r="AB125" s="15">
        <f t="shared" ref="AB125:AB133" si="133">N125*U125</f>
        <v>0</v>
      </c>
      <c r="AC125" s="15">
        <f t="shared" ref="AC125:AC133" si="134">O125*V125</f>
        <v>14</v>
      </c>
      <c r="AD125" s="15">
        <f t="shared" si="73"/>
        <v>14</v>
      </c>
      <c r="AE125" s="226"/>
    </row>
    <row r="126" spans="1:31" ht="93.75" customHeight="1" x14ac:dyDescent="0.25">
      <c r="A126" s="198"/>
      <c r="B126" s="197"/>
      <c r="C126" s="195"/>
      <c r="D126" s="182"/>
      <c r="E126" s="195"/>
      <c r="F126" s="182"/>
      <c r="G126" s="36">
        <v>5</v>
      </c>
      <c r="H126" s="60" t="s">
        <v>221</v>
      </c>
      <c r="I126" s="180"/>
      <c r="J126" s="15"/>
      <c r="K126" s="15"/>
      <c r="L126" s="15"/>
      <c r="M126" s="15"/>
      <c r="N126" s="15"/>
      <c r="O126" s="15">
        <v>1</v>
      </c>
      <c r="P126" s="38"/>
      <c r="Q126" s="15">
        <v>0</v>
      </c>
      <c r="R126" s="15">
        <f t="shared" ref="R126:R127" si="135">13*0.1</f>
        <v>1.3</v>
      </c>
      <c r="S126" s="15">
        <f t="shared" ref="S126:S127" si="136">13*0.2</f>
        <v>2.6</v>
      </c>
      <c r="T126" s="15">
        <f t="shared" ref="T126:T127" si="137">13*0.3</f>
        <v>3.9</v>
      </c>
      <c r="U126" s="15">
        <f t="shared" ref="U126:U127" si="138">13*0.6</f>
        <v>7.8</v>
      </c>
      <c r="V126" s="15">
        <f t="shared" ref="V126:V127" si="139">13*1</f>
        <v>13</v>
      </c>
      <c r="W126" s="13"/>
      <c r="X126" s="15">
        <f t="shared" si="129"/>
        <v>0</v>
      </c>
      <c r="Y126" s="15">
        <f t="shared" si="130"/>
        <v>0</v>
      </c>
      <c r="Z126" s="15">
        <f t="shared" si="131"/>
        <v>0</v>
      </c>
      <c r="AA126" s="15">
        <f t="shared" si="132"/>
        <v>0</v>
      </c>
      <c r="AB126" s="15">
        <f t="shared" si="133"/>
        <v>0</v>
      </c>
      <c r="AC126" s="15">
        <f t="shared" si="134"/>
        <v>13</v>
      </c>
      <c r="AD126" s="15">
        <f t="shared" si="73"/>
        <v>13</v>
      </c>
      <c r="AE126" s="226"/>
    </row>
    <row r="127" spans="1:31" ht="40.5" customHeight="1" x14ac:dyDescent="0.25">
      <c r="A127" s="193"/>
      <c r="B127" s="191"/>
      <c r="C127" s="196"/>
      <c r="D127" s="183"/>
      <c r="E127" s="196"/>
      <c r="F127" s="183"/>
      <c r="G127" s="36">
        <v>6</v>
      </c>
      <c r="H127" s="60" t="s">
        <v>222</v>
      </c>
      <c r="I127" s="180"/>
      <c r="J127" s="15"/>
      <c r="K127" s="15"/>
      <c r="L127" s="15"/>
      <c r="M127" s="15"/>
      <c r="N127" s="15"/>
      <c r="O127" s="15">
        <v>1</v>
      </c>
      <c r="P127" s="38"/>
      <c r="Q127" s="15">
        <v>0</v>
      </c>
      <c r="R127" s="15">
        <f t="shared" si="135"/>
        <v>1.3</v>
      </c>
      <c r="S127" s="15">
        <f t="shared" si="136"/>
        <v>2.6</v>
      </c>
      <c r="T127" s="15">
        <f t="shared" si="137"/>
        <v>3.9</v>
      </c>
      <c r="U127" s="15">
        <f t="shared" si="138"/>
        <v>7.8</v>
      </c>
      <c r="V127" s="15">
        <f t="shared" si="139"/>
        <v>13</v>
      </c>
      <c r="W127" s="13"/>
      <c r="X127" s="15">
        <f t="shared" si="129"/>
        <v>0</v>
      </c>
      <c r="Y127" s="15">
        <f t="shared" si="130"/>
        <v>0</v>
      </c>
      <c r="Z127" s="15">
        <f t="shared" si="131"/>
        <v>0</v>
      </c>
      <c r="AA127" s="15">
        <f t="shared" si="132"/>
        <v>0</v>
      </c>
      <c r="AB127" s="15">
        <f t="shared" si="133"/>
        <v>0</v>
      </c>
      <c r="AC127" s="15">
        <f t="shared" si="134"/>
        <v>13</v>
      </c>
      <c r="AD127" s="15">
        <f t="shared" ref="AD127:AD133" si="140">X127+Y127+Z127+AA127+AB127+AC127</f>
        <v>13</v>
      </c>
      <c r="AE127" s="226"/>
    </row>
    <row r="128" spans="1:31" ht="96.75" customHeight="1" x14ac:dyDescent="0.25">
      <c r="A128" s="187">
        <v>9</v>
      </c>
      <c r="B128" s="184" t="s">
        <v>49</v>
      </c>
      <c r="C128" s="194"/>
      <c r="D128" s="181" t="s">
        <v>223</v>
      </c>
      <c r="E128" s="194"/>
      <c r="F128" s="181" t="s">
        <v>224</v>
      </c>
      <c r="G128" s="36">
        <v>1</v>
      </c>
      <c r="H128" s="60" t="s">
        <v>353</v>
      </c>
      <c r="I128" s="180" t="s">
        <v>317</v>
      </c>
      <c r="J128" s="15"/>
      <c r="K128" s="15"/>
      <c r="L128" s="15"/>
      <c r="M128" s="15"/>
      <c r="N128" s="15"/>
      <c r="O128" s="15">
        <v>1</v>
      </c>
      <c r="P128" s="38"/>
      <c r="Q128" s="15">
        <v>0</v>
      </c>
      <c r="R128" s="15">
        <f>20*0.1</f>
        <v>2</v>
      </c>
      <c r="S128" s="15">
        <f>20*0.2</f>
        <v>4</v>
      </c>
      <c r="T128" s="15">
        <f>20*0.3</f>
        <v>6</v>
      </c>
      <c r="U128" s="15">
        <f>20*0.6</f>
        <v>12</v>
      </c>
      <c r="V128" s="15">
        <f>20*1</f>
        <v>20</v>
      </c>
      <c r="W128" s="13"/>
      <c r="X128" s="15">
        <f t="shared" si="129"/>
        <v>0</v>
      </c>
      <c r="Y128" s="15">
        <f t="shared" si="130"/>
        <v>0</v>
      </c>
      <c r="Z128" s="15">
        <f t="shared" si="131"/>
        <v>0</v>
      </c>
      <c r="AA128" s="15">
        <f t="shared" si="132"/>
        <v>0</v>
      </c>
      <c r="AB128" s="15">
        <f t="shared" si="133"/>
        <v>0</v>
      </c>
      <c r="AC128" s="15">
        <f t="shared" si="134"/>
        <v>20</v>
      </c>
      <c r="AD128" s="15">
        <f t="shared" si="140"/>
        <v>20</v>
      </c>
      <c r="AE128" s="226">
        <f>SUM(AD128:AD130)</f>
        <v>60</v>
      </c>
    </row>
    <row r="129" spans="1:31" ht="62.25" customHeight="1" x14ac:dyDescent="0.25">
      <c r="A129" s="188"/>
      <c r="B129" s="185"/>
      <c r="C129" s="195"/>
      <c r="D129" s="182"/>
      <c r="E129" s="195"/>
      <c r="F129" s="182"/>
      <c r="G129" s="36">
        <v>2</v>
      </c>
      <c r="H129" s="60" t="s">
        <v>225</v>
      </c>
      <c r="I129" s="180"/>
      <c r="J129" s="15"/>
      <c r="K129" s="15"/>
      <c r="L129" s="15"/>
      <c r="M129" s="15"/>
      <c r="N129" s="15"/>
      <c r="O129" s="15">
        <v>1</v>
      </c>
      <c r="P129" s="38"/>
      <c r="Q129" s="15">
        <v>0</v>
      </c>
      <c r="R129" s="15">
        <f t="shared" ref="R129:R130" si="141">20*0.1</f>
        <v>2</v>
      </c>
      <c r="S129" s="15">
        <f t="shared" ref="S129:S130" si="142">20*0.2</f>
        <v>4</v>
      </c>
      <c r="T129" s="15">
        <f t="shared" ref="T129:T130" si="143">20*0.3</f>
        <v>6</v>
      </c>
      <c r="U129" s="15">
        <f t="shared" ref="U129:U130" si="144">20*0.6</f>
        <v>12</v>
      </c>
      <c r="V129" s="15">
        <f t="shared" ref="V129:V130" si="145">20*1</f>
        <v>20</v>
      </c>
      <c r="W129" s="13"/>
      <c r="X129" s="15">
        <f t="shared" si="129"/>
        <v>0</v>
      </c>
      <c r="Y129" s="15">
        <f t="shared" si="130"/>
        <v>0</v>
      </c>
      <c r="Z129" s="15">
        <f t="shared" si="131"/>
        <v>0</v>
      </c>
      <c r="AA129" s="15">
        <f t="shared" si="132"/>
        <v>0</v>
      </c>
      <c r="AB129" s="15">
        <f t="shared" si="133"/>
        <v>0</v>
      </c>
      <c r="AC129" s="15">
        <f t="shared" si="134"/>
        <v>20</v>
      </c>
      <c r="AD129" s="15">
        <f t="shared" si="140"/>
        <v>20</v>
      </c>
      <c r="AE129" s="226"/>
    </row>
    <row r="130" spans="1:31" ht="45.75" customHeight="1" x14ac:dyDescent="0.25">
      <c r="A130" s="189"/>
      <c r="B130" s="186"/>
      <c r="C130" s="196"/>
      <c r="D130" s="183"/>
      <c r="E130" s="196"/>
      <c r="F130" s="183"/>
      <c r="G130" s="36">
        <v>3</v>
      </c>
      <c r="H130" s="60" t="s">
        <v>226</v>
      </c>
      <c r="I130" s="180"/>
      <c r="J130" s="15"/>
      <c r="K130" s="15"/>
      <c r="L130" s="15"/>
      <c r="M130" s="15"/>
      <c r="N130" s="15"/>
      <c r="O130" s="15">
        <v>1</v>
      </c>
      <c r="P130" s="38"/>
      <c r="Q130" s="15">
        <v>0</v>
      </c>
      <c r="R130" s="15">
        <f t="shared" si="141"/>
        <v>2</v>
      </c>
      <c r="S130" s="15">
        <f t="shared" si="142"/>
        <v>4</v>
      </c>
      <c r="T130" s="15">
        <f t="shared" si="143"/>
        <v>6</v>
      </c>
      <c r="U130" s="15">
        <f t="shared" si="144"/>
        <v>12</v>
      </c>
      <c r="V130" s="15">
        <f t="shared" si="145"/>
        <v>20</v>
      </c>
      <c r="W130" s="13"/>
      <c r="X130" s="15">
        <f t="shared" si="129"/>
        <v>0</v>
      </c>
      <c r="Y130" s="15">
        <f t="shared" si="130"/>
        <v>0</v>
      </c>
      <c r="Z130" s="15">
        <f t="shared" si="131"/>
        <v>0</v>
      </c>
      <c r="AA130" s="15">
        <f t="shared" si="132"/>
        <v>0</v>
      </c>
      <c r="AB130" s="15">
        <f t="shared" si="133"/>
        <v>0</v>
      </c>
      <c r="AC130" s="15">
        <f t="shared" si="134"/>
        <v>20</v>
      </c>
      <c r="AD130" s="15">
        <f t="shared" si="140"/>
        <v>20</v>
      </c>
      <c r="AE130" s="226"/>
    </row>
    <row r="131" spans="1:31" ht="119.25" customHeight="1" x14ac:dyDescent="0.25">
      <c r="A131" s="187">
        <v>10</v>
      </c>
      <c r="B131" s="184" t="s">
        <v>50</v>
      </c>
      <c r="C131" s="194"/>
      <c r="D131" s="181" t="s">
        <v>227</v>
      </c>
      <c r="E131" s="194"/>
      <c r="F131" s="181" t="s">
        <v>228</v>
      </c>
      <c r="G131" s="36">
        <v>1</v>
      </c>
      <c r="H131" s="60" t="s">
        <v>366</v>
      </c>
      <c r="I131" s="180" t="s">
        <v>318</v>
      </c>
      <c r="J131" s="15"/>
      <c r="K131" s="15"/>
      <c r="L131" s="15"/>
      <c r="M131" s="15"/>
      <c r="N131" s="15"/>
      <c r="O131" s="15">
        <v>1</v>
      </c>
      <c r="P131" s="38"/>
      <c r="Q131" s="15">
        <v>0</v>
      </c>
      <c r="R131" s="15">
        <f t="shared" ref="R131:R140" si="146">14*0.1</f>
        <v>1.4000000000000001</v>
      </c>
      <c r="S131" s="15">
        <f t="shared" ref="S131:S140" si="147">14*0.2</f>
        <v>2.8000000000000003</v>
      </c>
      <c r="T131" s="15">
        <f t="shared" ref="T131:T140" si="148">14*0.3</f>
        <v>4.2</v>
      </c>
      <c r="U131" s="15">
        <f t="shared" ref="U131:U140" si="149">14*0.6</f>
        <v>8.4</v>
      </c>
      <c r="V131" s="15">
        <f t="shared" ref="V131:V140" si="150">14*1</f>
        <v>14</v>
      </c>
      <c r="W131" s="13"/>
      <c r="X131" s="15">
        <f t="shared" si="129"/>
        <v>0</v>
      </c>
      <c r="Y131" s="15">
        <f t="shared" si="130"/>
        <v>0</v>
      </c>
      <c r="Z131" s="15">
        <f t="shared" si="131"/>
        <v>0</v>
      </c>
      <c r="AA131" s="15">
        <f t="shared" si="132"/>
        <v>0</v>
      </c>
      <c r="AB131" s="15">
        <f t="shared" si="133"/>
        <v>0</v>
      </c>
      <c r="AC131" s="15">
        <f t="shared" si="134"/>
        <v>14</v>
      </c>
      <c r="AD131" s="15">
        <f t="shared" si="140"/>
        <v>14</v>
      </c>
      <c r="AE131" s="226">
        <f>SUM(AD131:AD142)</f>
        <v>165</v>
      </c>
    </row>
    <row r="132" spans="1:31" ht="54.75" customHeight="1" x14ac:dyDescent="0.25">
      <c r="A132" s="188"/>
      <c r="B132" s="185"/>
      <c r="C132" s="195"/>
      <c r="D132" s="182"/>
      <c r="E132" s="195"/>
      <c r="F132" s="182"/>
      <c r="G132" s="36">
        <v>2</v>
      </c>
      <c r="H132" s="60" t="s">
        <v>229</v>
      </c>
      <c r="I132" s="180"/>
      <c r="J132" s="15"/>
      <c r="K132" s="15"/>
      <c r="L132" s="15"/>
      <c r="M132" s="15"/>
      <c r="N132" s="15"/>
      <c r="O132" s="15">
        <v>1</v>
      </c>
      <c r="P132" s="38"/>
      <c r="Q132" s="15">
        <v>0</v>
      </c>
      <c r="R132" s="15">
        <f t="shared" si="146"/>
        <v>1.4000000000000001</v>
      </c>
      <c r="S132" s="15">
        <f t="shared" si="147"/>
        <v>2.8000000000000003</v>
      </c>
      <c r="T132" s="15">
        <f t="shared" si="148"/>
        <v>4.2</v>
      </c>
      <c r="U132" s="15">
        <f t="shared" si="149"/>
        <v>8.4</v>
      </c>
      <c r="V132" s="15">
        <f t="shared" si="150"/>
        <v>14</v>
      </c>
      <c r="W132" s="13"/>
      <c r="X132" s="15">
        <f t="shared" si="129"/>
        <v>0</v>
      </c>
      <c r="Y132" s="15">
        <v>0</v>
      </c>
      <c r="Z132" s="15">
        <f t="shared" si="131"/>
        <v>0</v>
      </c>
      <c r="AA132" s="15">
        <f t="shared" si="132"/>
        <v>0</v>
      </c>
      <c r="AB132" s="15">
        <f t="shared" si="133"/>
        <v>0</v>
      </c>
      <c r="AC132" s="15">
        <f t="shared" si="134"/>
        <v>14</v>
      </c>
      <c r="AD132" s="15">
        <f t="shared" si="140"/>
        <v>14</v>
      </c>
      <c r="AE132" s="226"/>
    </row>
    <row r="133" spans="1:31" ht="62.25" customHeight="1" x14ac:dyDescent="0.25">
      <c r="A133" s="188"/>
      <c r="B133" s="185"/>
      <c r="C133" s="195"/>
      <c r="D133" s="182"/>
      <c r="E133" s="195"/>
      <c r="F133" s="182"/>
      <c r="G133" s="36">
        <v>3</v>
      </c>
      <c r="H133" s="60" t="s">
        <v>230</v>
      </c>
      <c r="I133" s="180"/>
      <c r="J133" s="15"/>
      <c r="K133" s="15"/>
      <c r="L133" s="15"/>
      <c r="M133" s="15"/>
      <c r="N133" s="15"/>
      <c r="O133" s="15">
        <v>1</v>
      </c>
      <c r="P133" s="38"/>
      <c r="Q133" s="15">
        <v>0</v>
      </c>
      <c r="R133" s="15">
        <f t="shared" ref="R133" si="151">13*0.1</f>
        <v>1.3</v>
      </c>
      <c r="S133" s="15">
        <f t="shared" ref="S133" si="152">13*0.2</f>
        <v>2.6</v>
      </c>
      <c r="T133" s="15">
        <f t="shared" ref="T133" si="153">13*0.3</f>
        <v>3.9</v>
      </c>
      <c r="U133" s="15">
        <f t="shared" ref="U133" si="154">13*0.6</f>
        <v>7.8</v>
      </c>
      <c r="V133" s="15">
        <f t="shared" ref="V133" si="155">13*1</f>
        <v>13</v>
      </c>
      <c r="W133" s="13"/>
      <c r="X133" s="15">
        <f t="shared" si="129"/>
        <v>0</v>
      </c>
      <c r="Y133" s="15">
        <f t="shared" si="130"/>
        <v>0</v>
      </c>
      <c r="Z133" s="15">
        <f t="shared" si="131"/>
        <v>0</v>
      </c>
      <c r="AA133" s="15">
        <f t="shared" si="132"/>
        <v>0</v>
      </c>
      <c r="AB133" s="15">
        <f t="shared" si="133"/>
        <v>0</v>
      </c>
      <c r="AC133" s="15">
        <f t="shared" si="134"/>
        <v>13</v>
      </c>
      <c r="AD133" s="15">
        <f t="shared" si="140"/>
        <v>13</v>
      </c>
      <c r="AE133" s="226"/>
    </row>
    <row r="134" spans="1:31" ht="56.25" customHeight="1" x14ac:dyDescent="0.25">
      <c r="A134" s="188"/>
      <c r="B134" s="185"/>
      <c r="C134" s="195"/>
      <c r="D134" s="182"/>
      <c r="E134" s="195"/>
      <c r="F134" s="182"/>
      <c r="G134" s="36">
        <v>4</v>
      </c>
      <c r="H134" s="60" t="s">
        <v>231</v>
      </c>
      <c r="I134" s="180"/>
      <c r="J134" s="15"/>
      <c r="K134" s="15"/>
      <c r="L134" s="15"/>
      <c r="M134" s="15"/>
      <c r="N134" s="15"/>
      <c r="O134" s="15">
        <v>1</v>
      </c>
      <c r="P134" s="38"/>
      <c r="Q134" s="15">
        <v>0</v>
      </c>
      <c r="R134" s="15">
        <f t="shared" si="146"/>
        <v>1.4000000000000001</v>
      </c>
      <c r="S134" s="15">
        <f t="shared" si="147"/>
        <v>2.8000000000000003</v>
      </c>
      <c r="T134" s="15">
        <f t="shared" si="148"/>
        <v>4.2</v>
      </c>
      <c r="U134" s="15">
        <f t="shared" si="149"/>
        <v>8.4</v>
      </c>
      <c r="V134" s="15">
        <f t="shared" si="150"/>
        <v>14</v>
      </c>
      <c r="W134" s="13"/>
      <c r="X134" s="15">
        <f t="shared" ref="X134:X141" si="156">J134*Q134</f>
        <v>0</v>
      </c>
      <c r="Y134" s="15">
        <f t="shared" ref="Y134:Y141" si="157">K134*R134</f>
        <v>0</v>
      </c>
      <c r="Z134" s="15">
        <f t="shared" ref="Z134:Z141" si="158">L134*S134</f>
        <v>0</v>
      </c>
      <c r="AA134" s="15">
        <f t="shared" ref="AA134:AA141" si="159">M134*T134</f>
        <v>0</v>
      </c>
      <c r="AB134" s="15">
        <f t="shared" ref="AB134:AB141" si="160">N134*U134</f>
        <v>0</v>
      </c>
      <c r="AC134" s="15">
        <f t="shared" ref="AC134:AC141" si="161">O134*V134</f>
        <v>14</v>
      </c>
      <c r="AD134" s="15">
        <f t="shared" ref="AD134:AD141" si="162">X134+Y134+Z134+AA134+AB134+AC134</f>
        <v>14</v>
      </c>
      <c r="AE134" s="226"/>
    </row>
    <row r="135" spans="1:31" ht="79.5" customHeight="1" x14ac:dyDescent="0.25">
      <c r="A135" s="188"/>
      <c r="B135" s="185"/>
      <c r="C135" s="196"/>
      <c r="D135" s="183"/>
      <c r="E135" s="196"/>
      <c r="F135" s="183"/>
      <c r="G135" s="36">
        <v>5</v>
      </c>
      <c r="H135" s="60" t="s">
        <v>232</v>
      </c>
      <c r="I135" s="180"/>
      <c r="J135" s="15"/>
      <c r="K135" s="15"/>
      <c r="L135" s="15"/>
      <c r="M135" s="15"/>
      <c r="N135" s="15"/>
      <c r="O135" s="15">
        <v>1</v>
      </c>
      <c r="P135" s="38"/>
      <c r="Q135" s="15">
        <v>0</v>
      </c>
      <c r="R135" s="15">
        <f t="shared" si="146"/>
        <v>1.4000000000000001</v>
      </c>
      <c r="S135" s="15">
        <f t="shared" si="147"/>
        <v>2.8000000000000003</v>
      </c>
      <c r="T135" s="15">
        <f t="shared" si="148"/>
        <v>4.2</v>
      </c>
      <c r="U135" s="15">
        <f t="shared" si="149"/>
        <v>8.4</v>
      </c>
      <c r="V135" s="15">
        <f t="shared" si="150"/>
        <v>14</v>
      </c>
      <c r="W135" s="13"/>
      <c r="X135" s="15">
        <f t="shared" si="156"/>
        <v>0</v>
      </c>
      <c r="Y135" s="15">
        <f t="shared" si="157"/>
        <v>0</v>
      </c>
      <c r="Z135" s="15">
        <f t="shared" si="158"/>
        <v>0</v>
      </c>
      <c r="AA135" s="15">
        <f t="shared" si="159"/>
        <v>0</v>
      </c>
      <c r="AB135" s="15">
        <f t="shared" si="160"/>
        <v>0</v>
      </c>
      <c r="AC135" s="15">
        <f t="shared" si="161"/>
        <v>14</v>
      </c>
      <c r="AD135" s="15">
        <f t="shared" si="162"/>
        <v>14</v>
      </c>
      <c r="AE135" s="226"/>
    </row>
    <row r="136" spans="1:31" ht="59.25" customHeight="1" x14ac:dyDescent="0.25">
      <c r="A136" s="188"/>
      <c r="B136" s="185"/>
      <c r="C136" s="194"/>
      <c r="D136" s="181" t="s">
        <v>235</v>
      </c>
      <c r="E136" s="194"/>
      <c r="F136" s="181" t="s">
        <v>236</v>
      </c>
      <c r="G136" s="36">
        <v>6</v>
      </c>
      <c r="H136" s="60" t="s">
        <v>233</v>
      </c>
      <c r="I136" s="180" t="s">
        <v>319</v>
      </c>
      <c r="J136" s="15"/>
      <c r="K136" s="15"/>
      <c r="L136" s="15"/>
      <c r="M136" s="15"/>
      <c r="N136" s="15"/>
      <c r="O136" s="15">
        <v>1</v>
      </c>
      <c r="P136" s="38"/>
      <c r="Q136" s="15">
        <v>0</v>
      </c>
      <c r="R136" s="15">
        <f t="shared" si="146"/>
        <v>1.4000000000000001</v>
      </c>
      <c r="S136" s="15">
        <f t="shared" si="147"/>
        <v>2.8000000000000003</v>
      </c>
      <c r="T136" s="15">
        <f t="shared" si="148"/>
        <v>4.2</v>
      </c>
      <c r="U136" s="15">
        <f t="shared" si="149"/>
        <v>8.4</v>
      </c>
      <c r="V136" s="15">
        <f t="shared" si="150"/>
        <v>14</v>
      </c>
      <c r="W136" s="13"/>
      <c r="X136" s="15">
        <f t="shared" si="156"/>
        <v>0</v>
      </c>
      <c r="Y136" s="15">
        <f t="shared" si="157"/>
        <v>0</v>
      </c>
      <c r="Z136" s="15">
        <f t="shared" si="158"/>
        <v>0</v>
      </c>
      <c r="AA136" s="15">
        <f t="shared" si="159"/>
        <v>0</v>
      </c>
      <c r="AB136" s="15">
        <f t="shared" si="160"/>
        <v>0</v>
      </c>
      <c r="AC136" s="15">
        <f t="shared" si="161"/>
        <v>14</v>
      </c>
      <c r="AD136" s="15">
        <f t="shared" si="162"/>
        <v>14</v>
      </c>
      <c r="AE136" s="226"/>
    </row>
    <row r="137" spans="1:31" ht="71.25" customHeight="1" x14ac:dyDescent="0.25">
      <c r="A137" s="188"/>
      <c r="B137" s="185"/>
      <c r="C137" s="195"/>
      <c r="D137" s="182"/>
      <c r="E137" s="195"/>
      <c r="F137" s="182"/>
      <c r="G137" s="36">
        <v>7</v>
      </c>
      <c r="H137" s="60" t="s">
        <v>234</v>
      </c>
      <c r="I137" s="180"/>
      <c r="J137" s="15"/>
      <c r="K137" s="15"/>
      <c r="L137" s="15"/>
      <c r="M137" s="15"/>
      <c r="N137" s="15"/>
      <c r="O137" s="15">
        <v>1</v>
      </c>
      <c r="P137" s="38"/>
      <c r="Q137" s="15">
        <v>0</v>
      </c>
      <c r="R137" s="15">
        <f t="shared" si="146"/>
        <v>1.4000000000000001</v>
      </c>
      <c r="S137" s="15">
        <f t="shared" si="147"/>
        <v>2.8000000000000003</v>
      </c>
      <c r="T137" s="15">
        <f t="shared" si="148"/>
        <v>4.2</v>
      </c>
      <c r="U137" s="15">
        <f t="shared" si="149"/>
        <v>8.4</v>
      </c>
      <c r="V137" s="15">
        <f t="shared" si="150"/>
        <v>14</v>
      </c>
      <c r="W137" s="13"/>
      <c r="X137" s="15">
        <f t="shared" si="156"/>
        <v>0</v>
      </c>
      <c r="Y137" s="15">
        <f t="shared" si="157"/>
        <v>0</v>
      </c>
      <c r="Z137" s="15">
        <f t="shared" si="158"/>
        <v>0</v>
      </c>
      <c r="AA137" s="15">
        <f t="shared" si="159"/>
        <v>0</v>
      </c>
      <c r="AB137" s="15">
        <f t="shared" si="160"/>
        <v>0</v>
      </c>
      <c r="AC137" s="15">
        <f t="shared" si="161"/>
        <v>14</v>
      </c>
      <c r="AD137" s="15">
        <f t="shared" si="162"/>
        <v>14</v>
      </c>
      <c r="AE137" s="226"/>
    </row>
    <row r="138" spans="1:31" ht="66" customHeight="1" x14ac:dyDescent="0.25">
      <c r="A138" s="188"/>
      <c r="B138" s="185"/>
      <c r="C138" s="195"/>
      <c r="D138" s="182"/>
      <c r="E138" s="195"/>
      <c r="F138" s="182"/>
      <c r="G138" s="36">
        <v>8</v>
      </c>
      <c r="H138" s="60" t="s">
        <v>237</v>
      </c>
      <c r="I138" s="180"/>
      <c r="J138" s="15"/>
      <c r="K138" s="15"/>
      <c r="L138" s="15"/>
      <c r="M138" s="15"/>
      <c r="N138" s="15"/>
      <c r="O138" s="15">
        <v>1</v>
      </c>
      <c r="P138" s="38"/>
      <c r="Q138" s="15">
        <v>0</v>
      </c>
      <c r="R138" s="15">
        <f t="shared" si="146"/>
        <v>1.4000000000000001</v>
      </c>
      <c r="S138" s="15">
        <f t="shared" si="147"/>
        <v>2.8000000000000003</v>
      </c>
      <c r="T138" s="15">
        <f t="shared" si="148"/>
        <v>4.2</v>
      </c>
      <c r="U138" s="15">
        <f t="shared" si="149"/>
        <v>8.4</v>
      </c>
      <c r="V138" s="15">
        <f t="shared" si="150"/>
        <v>14</v>
      </c>
      <c r="W138" s="13"/>
      <c r="X138" s="15">
        <f t="shared" si="156"/>
        <v>0</v>
      </c>
      <c r="Y138" s="15">
        <f t="shared" si="157"/>
        <v>0</v>
      </c>
      <c r="Z138" s="15">
        <f t="shared" si="158"/>
        <v>0</v>
      </c>
      <c r="AA138" s="15">
        <f t="shared" si="159"/>
        <v>0</v>
      </c>
      <c r="AB138" s="15">
        <f t="shared" si="160"/>
        <v>0</v>
      </c>
      <c r="AC138" s="15">
        <f t="shared" si="161"/>
        <v>14</v>
      </c>
      <c r="AD138" s="15">
        <f t="shared" si="162"/>
        <v>14</v>
      </c>
      <c r="AE138" s="226"/>
    </row>
    <row r="139" spans="1:31" ht="55.5" customHeight="1" x14ac:dyDescent="0.25">
      <c r="A139" s="188"/>
      <c r="B139" s="185"/>
      <c r="C139" s="195"/>
      <c r="D139" s="182"/>
      <c r="E139" s="195"/>
      <c r="F139" s="182"/>
      <c r="G139" s="36">
        <v>9</v>
      </c>
      <c r="H139" s="60" t="s">
        <v>238</v>
      </c>
      <c r="I139" s="180"/>
      <c r="J139" s="15"/>
      <c r="K139" s="15"/>
      <c r="L139" s="15"/>
      <c r="M139" s="15"/>
      <c r="N139" s="15"/>
      <c r="O139" s="15">
        <v>1</v>
      </c>
      <c r="P139" s="38"/>
      <c r="Q139" s="15">
        <v>0</v>
      </c>
      <c r="R139" s="15">
        <f t="shared" si="146"/>
        <v>1.4000000000000001</v>
      </c>
      <c r="S139" s="15">
        <f t="shared" si="147"/>
        <v>2.8000000000000003</v>
      </c>
      <c r="T139" s="15">
        <f t="shared" si="148"/>
        <v>4.2</v>
      </c>
      <c r="U139" s="15">
        <f t="shared" si="149"/>
        <v>8.4</v>
      </c>
      <c r="V139" s="15">
        <f t="shared" si="150"/>
        <v>14</v>
      </c>
      <c r="W139" s="13"/>
      <c r="X139" s="15">
        <f t="shared" si="156"/>
        <v>0</v>
      </c>
      <c r="Y139" s="15">
        <f t="shared" si="157"/>
        <v>0</v>
      </c>
      <c r="Z139" s="15">
        <f t="shared" si="158"/>
        <v>0</v>
      </c>
      <c r="AA139" s="15">
        <f t="shared" si="159"/>
        <v>0</v>
      </c>
      <c r="AB139" s="15">
        <f t="shared" si="160"/>
        <v>0</v>
      </c>
      <c r="AC139" s="15">
        <f t="shared" si="161"/>
        <v>14</v>
      </c>
      <c r="AD139" s="15">
        <f t="shared" si="162"/>
        <v>14</v>
      </c>
      <c r="AE139" s="226"/>
    </row>
    <row r="140" spans="1:31" ht="96" customHeight="1" x14ac:dyDescent="0.25">
      <c r="A140" s="188"/>
      <c r="B140" s="185"/>
      <c r="C140" s="195"/>
      <c r="D140" s="182"/>
      <c r="E140" s="195"/>
      <c r="F140" s="182"/>
      <c r="G140" s="36">
        <v>10</v>
      </c>
      <c r="H140" s="60" t="s">
        <v>239</v>
      </c>
      <c r="I140" s="180"/>
      <c r="J140" s="15"/>
      <c r="K140" s="15"/>
      <c r="L140" s="15"/>
      <c r="M140" s="15"/>
      <c r="N140" s="15"/>
      <c r="O140" s="15">
        <v>1</v>
      </c>
      <c r="P140" s="38"/>
      <c r="Q140" s="15">
        <v>0</v>
      </c>
      <c r="R140" s="15">
        <f t="shared" si="146"/>
        <v>1.4000000000000001</v>
      </c>
      <c r="S140" s="15">
        <f t="shared" si="147"/>
        <v>2.8000000000000003</v>
      </c>
      <c r="T140" s="15">
        <f t="shared" si="148"/>
        <v>4.2</v>
      </c>
      <c r="U140" s="15">
        <f t="shared" si="149"/>
        <v>8.4</v>
      </c>
      <c r="V140" s="15">
        <f t="shared" si="150"/>
        <v>14</v>
      </c>
      <c r="W140" s="13"/>
      <c r="X140" s="15">
        <f t="shared" si="156"/>
        <v>0</v>
      </c>
      <c r="Y140" s="15">
        <f t="shared" si="157"/>
        <v>0</v>
      </c>
      <c r="Z140" s="15">
        <f t="shared" si="158"/>
        <v>0</v>
      </c>
      <c r="AA140" s="15">
        <f t="shared" si="159"/>
        <v>0</v>
      </c>
      <c r="AB140" s="15">
        <f t="shared" si="160"/>
        <v>0</v>
      </c>
      <c r="AC140" s="15">
        <f t="shared" si="161"/>
        <v>14</v>
      </c>
      <c r="AD140" s="15">
        <f t="shared" si="162"/>
        <v>14</v>
      </c>
      <c r="AE140" s="226"/>
    </row>
    <row r="141" spans="1:31" ht="42" customHeight="1" x14ac:dyDescent="0.25">
      <c r="A141" s="188"/>
      <c r="B141" s="185"/>
      <c r="C141" s="195"/>
      <c r="D141" s="182"/>
      <c r="E141" s="195"/>
      <c r="F141" s="182"/>
      <c r="G141" s="36">
        <v>11</v>
      </c>
      <c r="H141" s="60" t="s">
        <v>240</v>
      </c>
      <c r="I141" s="180"/>
      <c r="J141" s="15"/>
      <c r="K141" s="15"/>
      <c r="L141" s="15"/>
      <c r="M141" s="15"/>
      <c r="N141" s="15"/>
      <c r="O141" s="15">
        <v>1</v>
      </c>
      <c r="P141" s="38"/>
      <c r="Q141" s="15">
        <v>0</v>
      </c>
      <c r="R141" s="15">
        <f t="shared" ref="R141:R142" si="163">13*0.1</f>
        <v>1.3</v>
      </c>
      <c r="S141" s="15">
        <f t="shared" ref="S141:S142" si="164">13*0.2</f>
        <v>2.6</v>
      </c>
      <c r="T141" s="15">
        <f t="shared" ref="T141:T142" si="165">13*0.3</f>
        <v>3.9</v>
      </c>
      <c r="U141" s="15">
        <f t="shared" ref="U141:U142" si="166">13*0.6</f>
        <v>7.8</v>
      </c>
      <c r="V141" s="15">
        <f t="shared" ref="V141:V142" si="167">13*1</f>
        <v>13</v>
      </c>
      <c r="W141" s="13"/>
      <c r="X141" s="15">
        <f t="shared" si="156"/>
        <v>0</v>
      </c>
      <c r="Y141" s="15">
        <f t="shared" si="157"/>
        <v>0</v>
      </c>
      <c r="Z141" s="15">
        <f t="shared" si="158"/>
        <v>0</v>
      </c>
      <c r="AA141" s="15">
        <f t="shared" si="159"/>
        <v>0</v>
      </c>
      <c r="AB141" s="15">
        <f t="shared" si="160"/>
        <v>0</v>
      </c>
      <c r="AC141" s="15">
        <f t="shared" si="161"/>
        <v>13</v>
      </c>
      <c r="AD141" s="15">
        <f t="shared" si="162"/>
        <v>13</v>
      </c>
      <c r="AE141" s="226"/>
    </row>
    <row r="142" spans="1:31" ht="98.25" customHeight="1" x14ac:dyDescent="0.25">
      <c r="A142" s="189"/>
      <c r="B142" s="186"/>
      <c r="C142" s="196"/>
      <c r="D142" s="183"/>
      <c r="E142" s="196"/>
      <c r="F142" s="183"/>
      <c r="G142" s="36">
        <v>12</v>
      </c>
      <c r="H142" s="60" t="s">
        <v>367</v>
      </c>
      <c r="I142" s="180"/>
      <c r="J142" s="15"/>
      <c r="K142" s="15"/>
      <c r="L142" s="15"/>
      <c r="M142" s="15"/>
      <c r="N142" s="15"/>
      <c r="O142" s="15">
        <v>1</v>
      </c>
      <c r="P142" s="38"/>
      <c r="Q142" s="15">
        <v>0</v>
      </c>
      <c r="R142" s="15">
        <f t="shared" si="163"/>
        <v>1.3</v>
      </c>
      <c r="S142" s="15">
        <f t="shared" si="164"/>
        <v>2.6</v>
      </c>
      <c r="T142" s="15">
        <f t="shared" si="165"/>
        <v>3.9</v>
      </c>
      <c r="U142" s="15">
        <f t="shared" si="166"/>
        <v>7.8</v>
      </c>
      <c r="V142" s="15">
        <f t="shared" si="167"/>
        <v>13</v>
      </c>
      <c r="W142" s="13"/>
      <c r="X142" s="15">
        <f t="shared" ref="X142:X146" si="168">J142*Q142</f>
        <v>0</v>
      </c>
      <c r="Y142" s="15">
        <f t="shared" ref="Y142:Y146" si="169">K142*R142</f>
        <v>0</v>
      </c>
      <c r="Z142" s="15">
        <f t="shared" ref="Z142:Z146" si="170">L142*S142</f>
        <v>0</v>
      </c>
      <c r="AA142" s="15">
        <f t="shared" ref="AA142:AA146" si="171">M142*T142</f>
        <v>0</v>
      </c>
      <c r="AB142" s="15">
        <f t="shared" ref="AB142:AB146" si="172">N142*U142</f>
        <v>0</v>
      </c>
      <c r="AC142" s="15">
        <f t="shared" ref="AC142:AC146" si="173">O142*V142</f>
        <v>13</v>
      </c>
      <c r="AD142" s="15">
        <f t="shared" ref="AD142:AD146" si="174">X142+Y142+Z142+AA142+AB142+AC142</f>
        <v>13</v>
      </c>
      <c r="AE142" s="226"/>
    </row>
    <row r="143" spans="1:31" ht="67.5" customHeight="1" x14ac:dyDescent="0.25">
      <c r="A143" s="192">
        <v>11</v>
      </c>
      <c r="B143" s="190" t="s">
        <v>51</v>
      </c>
      <c r="C143" s="194"/>
      <c r="D143" s="181" t="s">
        <v>52</v>
      </c>
      <c r="E143" s="194"/>
      <c r="F143" s="181" t="s">
        <v>241</v>
      </c>
      <c r="G143" s="36">
        <v>1</v>
      </c>
      <c r="H143" s="60" t="s">
        <v>242</v>
      </c>
      <c r="I143" s="180" t="s">
        <v>320</v>
      </c>
      <c r="J143" s="15"/>
      <c r="K143" s="15"/>
      <c r="L143" s="15"/>
      <c r="M143" s="15"/>
      <c r="N143" s="15"/>
      <c r="O143" s="15">
        <v>1</v>
      </c>
      <c r="P143" s="38"/>
      <c r="Q143" s="15">
        <v>0</v>
      </c>
      <c r="R143" s="15">
        <f>12*0.1</f>
        <v>1.2000000000000002</v>
      </c>
      <c r="S143" s="15">
        <f>12*0.2</f>
        <v>2.4000000000000004</v>
      </c>
      <c r="T143" s="15">
        <f>12*0.3</f>
        <v>3.5999999999999996</v>
      </c>
      <c r="U143" s="15">
        <f>12*0.6</f>
        <v>7.1999999999999993</v>
      </c>
      <c r="V143" s="15">
        <f>12*1</f>
        <v>12</v>
      </c>
      <c r="W143" s="13"/>
      <c r="X143" s="15">
        <f t="shared" si="168"/>
        <v>0</v>
      </c>
      <c r="Y143" s="15">
        <f t="shared" si="169"/>
        <v>0</v>
      </c>
      <c r="Z143" s="15">
        <f t="shared" si="170"/>
        <v>0</v>
      </c>
      <c r="AA143" s="15">
        <f t="shared" si="171"/>
        <v>0</v>
      </c>
      <c r="AB143" s="15">
        <f t="shared" si="172"/>
        <v>0</v>
      </c>
      <c r="AC143" s="15">
        <f t="shared" si="173"/>
        <v>12</v>
      </c>
      <c r="AD143" s="15">
        <f t="shared" si="174"/>
        <v>12</v>
      </c>
      <c r="AE143" s="226">
        <f>SUM(AD143:AD148)</f>
        <v>70</v>
      </c>
    </row>
    <row r="144" spans="1:31" ht="64.5" customHeight="1" x14ac:dyDescent="0.25">
      <c r="A144" s="198"/>
      <c r="B144" s="197"/>
      <c r="C144" s="195"/>
      <c r="D144" s="182"/>
      <c r="E144" s="195"/>
      <c r="F144" s="182"/>
      <c r="G144" s="36">
        <v>2</v>
      </c>
      <c r="H144" s="60" t="s">
        <v>352</v>
      </c>
      <c r="I144" s="180"/>
      <c r="J144" s="15"/>
      <c r="K144" s="15"/>
      <c r="L144" s="15"/>
      <c r="M144" s="15"/>
      <c r="N144" s="15"/>
      <c r="O144" s="15">
        <v>1</v>
      </c>
      <c r="P144" s="38"/>
      <c r="Q144" s="15">
        <v>0</v>
      </c>
      <c r="R144" s="15">
        <f t="shared" ref="R144:R148" si="175">12*0.1</f>
        <v>1.2000000000000002</v>
      </c>
      <c r="S144" s="15">
        <f t="shared" ref="S144:S148" si="176">12*0.2</f>
        <v>2.4000000000000004</v>
      </c>
      <c r="T144" s="15">
        <f t="shared" ref="T144:T148" si="177">12*0.3</f>
        <v>3.5999999999999996</v>
      </c>
      <c r="U144" s="15">
        <f t="shared" ref="U144:U148" si="178">12*0.6</f>
        <v>7.1999999999999993</v>
      </c>
      <c r="V144" s="15">
        <f t="shared" ref="V144:V148" si="179">12*1</f>
        <v>12</v>
      </c>
      <c r="W144" s="13"/>
      <c r="X144" s="15">
        <f t="shared" si="168"/>
        <v>0</v>
      </c>
      <c r="Y144" s="15">
        <f t="shared" si="169"/>
        <v>0</v>
      </c>
      <c r="Z144" s="15">
        <f t="shared" si="170"/>
        <v>0</v>
      </c>
      <c r="AA144" s="15">
        <f t="shared" si="171"/>
        <v>0</v>
      </c>
      <c r="AB144" s="15">
        <f t="shared" si="172"/>
        <v>0</v>
      </c>
      <c r="AC144" s="15">
        <f t="shared" si="173"/>
        <v>12</v>
      </c>
      <c r="AD144" s="15">
        <f t="shared" si="174"/>
        <v>12</v>
      </c>
      <c r="AE144" s="226"/>
    </row>
    <row r="145" spans="1:87" ht="111" customHeight="1" x14ac:dyDescent="0.25">
      <c r="A145" s="198"/>
      <c r="B145" s="197"/>
      <c r="C145" s="195"/>
      <c r="D145" s="182"/>
      <c r="E145" s="195"/>
      <c r="F145" s="182"/>
      <c r="G145" s="36">
        <v>3</v>
      </c>
      <c r="H145" s="60" t="s">
        <v>243</v>
      </c>
      <c r="I145" s="180"/>
      <c r="J145" s="15"/>
      <c r="K145" s="15"/>
      <c r="L145" s="15"/>
      <c r="M145" s="15"/>
      <c r="N145" s="15"/>
      <c r="O145" s="15">
        <v>1</v>
      </c>
      <c r="P145" s="38"/>
      <c r="Q145" s="15">
        <v>0</v>
      </c>
      <c r="R145" s="15">
        <f t="shared" si="175"/>
        <v>1.2000000000000002</v>
      </c>
      <c r="S145" s="15">
        <f t="shared" si="176"/>
        <v>2.4000000000000004</v>
      </c>
      <c r="T145" s="15">
        <f t="shared" si="177"/>
        <v>3.5999999999999996</v>
      </c>
      <c r="U145" s="15">
        <f t="shared" si="178"/>
        <v>7.1999999999999993</v>
      </c>
      <c r="V145" s="15">
        <f t="shared" si="179"/>
        <v>12</v>
      </c>
      <c r="W145" s="13"/>
      <c r="X145" s="15">
        <f t="shared" si="168"/>
        <v>0</v>
      </c>
      <c r="Y145" s="15">
        <f t="shared" si="169"/>
        <v>0</v>
      </c>
      <c r="Z145" s="15">
        <f t="shared" si="170"/>
        <v>0</v>
      </c>
      <c r="AA145" s="15">
        <f t="shared" si="171"/>
        <v>0</v>
      </c>
      <c r="AB145" s="15">
        <f t="shared" si="172"/>
        <v>0</v>
      </c>
      <c r="AC145" s="15">
        <f t="shared" si="173"/>
        <v>12</v>
      </c>
      <c r="AD145" s="15">
        <f t="shared" si="174"/>
        <v>12</v>
      </c>
      <c r="AE145" s="226"/>
    </row>
    <row r="146" spans="1:87" ht="97.5" customHeight="1" x14ac:dyDescent="0.25">
      <c r="A146" s="198"/>
      <c r="B146" s="197"/>
      <c r="C146" s="195"/>
      <c r="D146" s="182"/>
      <c r="E146" s="195"/>
      <c r="F146" s="182"/>
      <c r="G146" s="36">
        <v>4</v>
      </c>
      <c r="H146" s="60" t="s">
        <v>244</v>
      </c>
      <c r="I146" s="180"/>
      <c r="J146" s="15"/>
      <c r="K146" s="15"/>
      <c r="L146" s="15"/>
      <c r="M146" s="15"/>
      <c r="N146" s="15"/>
      <c r="O146" s="15">
        <v>1</v>
      </c>
      <c r="P146" s="38"/>
      <c r="Q146" s="15">
        <v>0</v>
      </c>
      <c r="R146" s="15">
        <f t="shared" si="175"/>
        <v>1.2000000000000002</v>
      </c>
      <c r="S146" s="15">
        <f t="shared" si="176"/>
        <v>2.4000000000000004</v>
      </c>
      <c r="T146" s="15">
        <f t="shared" si="177"/>
        <v>3.5999999999999996</v>
      </c>
      <c r="U146" s="15">
        <f t="shared" si="178"/>
        <v>7.1999999999999993</v>
      </c>
      <c r="V146" s="15">
        <f t="shared" si="179"/>
        <v>12</v>
      </c>
      <c r="W146" s="13"/>
      <c r="X146" s="15">
        <f t="shared" si="168"/>
        <v>0</v>
      </c>
      <c r="Y146" s="15">
        <f t="shared" si="169"/>
        <v>0</v>
      </c>
      <c r="Z146" s="15">
        <f t="shared" si="170"/>
        <v>0</v>
      </c>
      <c r="AA146" s="15">
        <f t="shared" si="171"/>
        <v>0</v>
      </c>
      <c r="AB146" s="15">
        <f t="shared" si="172"/>
        <v>0</v>
      </c>
      <c r="AC146" s="15">
        <f t="shared" si="173"/>
        <v>12</v>
      </c>
      <c r="AD146" s="15">
        <f t="shared" si="174"/>
        <v>12</v>
      </c>
      <c r="AE146" s="226"/>
    </row>
    <row r="147" spans="1:87" ht="60.75" customHeight="1" x14ac:dyDescent="0.25">
      <c r="A147" s="198"/>
      <c r="B147" s="197"/>
      <c r="C147" s="194"/>
      <c r="D147" s="181" t="s">
        <v>53</v>
      </c>
      <c r="E147" s="194"/>
      <c r="F147" s="181" t="s">
        <v>245</v>
      </c>
      <c r="G147" s="36">
        <v>5</v>
      </c>
      <c r="H147" s="60" t="s">
        <v>246</v>
      </c>
      <c r="I147" s="180" t="s">
        <v>320</v>
      </c>
      <c r="J147" s="15"/>
      <c r="K147" s="15"/>
      <c r="L147" s="15"/>
      <c r="M147" s="15"/>
      <c r="N147" s="15"/>
      <c r="O147" s="15">
        <v>1</v>
      </c>
      <c r="P147" s="38"/>
      <c r="Q147" s="15">
        <v>0</v>
      </c>
      <c r="R147" s="15">
        <f>10*0.1</f>
        <v>1</v>
      </c>
      <c r="S147" s="15">
        <f>10*0.2</f>
        <v>2</v>
      </c>
      <c r="T147" s="15">
        <f>10*0.3</f>
        <v>3</v>
      </c>
      <c r="U147" s="15">
        <f>10*0.6</f>
        <v>6</v>
      </c>
      <c r="V147" s="15">
        <f>10*1</f>
        <v>10</v>
      </c>
      <c r="W147" s="13"/>
      <c r="X147" s="15">
        <f t="shared" ref="X147:AC153" si="180">J147*Q147</f>
        <v>0</v>
      </c>
      <c r="Y147" s="15">
        <f t="shared" si="180"/>
        <v>0</v>
      </c>
      <c r="Z147" s="15">
        <f t="shared" si="180"/>
        <v>0</v>
      </c>
      <c r="AA147" s="15">
        <f t="shared" si="180"/>
        <v>0</v>
      </c>
      <c r="AB147" s="15">
        <f t="shared" si="180"/>
        <v>0</v>
      </c>
      <c r="AC147" s="15">
        <f t="shared" si="180"/>
        <v>10</v>
      </c>
      <c r="AD147" s="15">
        <f t="shared" ref="AD147:AD152" si="181">X147+Y147+Z147+AA147+AB147+AC147</f>
        <v>10</v>
      </c>
      <c r="AE147" s="226"/>
    </row>
    <row r="148" spans="1:87" ht="82.5" customHeight="1" x14ac:dyDescent="0.25">
      <c r="A148" s="193"/>
      <c r="B148" s="191"/>
      <c r="C148" s="196"/>
      <c r="D148" s="183"/>
      <c r="E148" s="196"/>
      <c r="F148" s="183"/>
      <c r="G148" s="36">
        <v>6</v>
      </c>
      <c r="H148" s="60" t="s">
        <v>247</v>
      </c>
      <c r="I148" s="180"/>
      <c r="J148" s="15"/>
      <c r="K148" s="15"/>
      <c r="L148" s="15"/>
      <c r="M148" s="15"/>
      <c r="N148" s="15"/>
      <c r="O148" s="15">
        <v>1</v>
      </c>
      <c r="P148" s="38"/>
      <c r="Q148" s="15">
        <v>0</v>
      </c>
      <c r="R148" s="15">
        <f t="shared" si="175"/>
        <v>1.2000000000000002</v>
      </c>
      <c r="S148" s="15">
        <f t="shared" si="176"/>
        <v>2.4000000000000004</v>
      </c>
      <c r="T148" s="15">
        <f t="shared" si="177"/>
        <v>3.5999999999999996</v>
      </c>
      <c r="U148" s="15">
        <f t="shared" si="178"/>
        <v>7.1999999999999993</v>
      </c>
      <c r="V148" s="15">
        <f t="shared" si="179"/>
        <v>12</v>
      </c>
      <c r="W148" s="13"/>
      <c r="X148" s="15">
        <f t="shared" si="180"/>
        <v>0</v>
      </c>
      <c r="Y148" s="15">
        <f t="shared" si="180"/>
        <v>0</v>
      </c>
      <c r="Z148" s="15">
        <f t="shared" si="180"/>
        <v>0</v>
      </c>
      <c r="AA148" s="15">
        <f t="shared" si="180"/>
        <v>0</v>
      </c>
      <c r="AB148" s="15">
        <f t="shared" si="180"/>
        <v>0</v>
      </c>
      <c r="AC148" s="15">
        <f t="shared" si="180"/>
        <v>12</v>
      </c>
      <c r="AD148" s="15">
        <f t="shared" si="181"/>
        <v>12</v>
      </c>
      <c r="AE148" s="226"/>
    </row>
    <row r="149" spans="1:87" ht="58.5" customHeight="1" x14ac:dyDescent="0.25">
      <c r="A149" s="192">
        <v>12</v>
      </c>
      <c r="B149" s="190" t="s">
        <v>54</v>
      </c>
      <c r="C149" s="194"/>
      <c r="D149" s="181" t="s">
        <v>54</v>
      </c>
      <c r="E149" s="194"/>
      <c r="F149" s="181" t="s">
        <v>248</v>
      </c>
      <c r="G149" s="36">
        <v>1</v>
      </c>
      <c r="H149" s="60" t="s">
        <v>249</v>
      </c>
      <c r="I149" s="180" t="s">
        <v>321</v>
      </c>
      <c r="J149" s="15"/>
      <c r="K149" s="15"/>
      <c r="L149" s="15"/>
      <c r="M149" s="15"/>
      <c r="N149" s="15"/>
      <c r="O149" s="15">
        <v>1</v>
      </c>
      <c r="P149" s="38"/>
      <c r="Q149" s="15">
        <v>0</v>
      </c>
      <c r="R149" s="15">
        <f>36*0.1</f>
        <v>3.6</v>
      </c>
      <c r="S149" s="15">
        <f>36*0.2</f>
        <v>7.2</v>
      </c>
      <c r="T149" s="15">
        <f>36*0.3</f>
        <v>10.799999999999999</v>
      </c>
      <c r="U149" s="15">
        <f>36*0.6</f>
        <v>21.599999999999998</v>
      </c>
      <c r="V149" s="15">
        <f>36*1</f>
        <v>36</v>
      </c>
      <c r="W149" s="13"/>
      <c r="X149" s="15">
        <f t="shared" si="180"/>
        <v>0</v>
      </c>
      <c r="Y149" s="15">
        <f t="shared" si="180"/>
        <v>0</v>
      </c>
      <c r="Z149" s="15">
        <f t="shared" si="180"/>
        <v>0</v>
      </c>
      <c r="AA149" s="15">
        <f t="shared" si="180"/>
        <v>0</v>
      </c>
      <c r="AB149" s="15">
        <f t="shared" si="180"/>
        <v>0</v>
      </c>
      <c r="AC149" s="15">
        <f t="shared" si="180"/>
        <v>36</v>
      </c>
      <c r="AD149" s="15">
        <f t="shared" si="181"/>
        <v>36</v>
      </c>
      <c r="AE149" s="226">
        <f>SUM(AD149:AD153)</f>
        <v>180</v>
      </c>
    </row>
    <row r="150" spans="1:87" ht="82.5" customHeight="1" x14ac:dyDescent="0.25">
      <c r="A150" s="198"/>
      <c r="B150" s="197"/>
      <c r="C150" s="195"/>
      <c r="D150" s="182"/>
      <c r="E150" s="195"/>
      <c r="F150" s="182"/>
      <c r="G150" s="36">
        <v>2</v>
      </c>
      <c r="H150" s="60" t="s">
        <v>250</v>
      </c>
      <c r="I150" s="180"/>
      <c r="J150" s="15"/>
      <c r="K150" s="15"/>
      <c r="L150" s="15"/>
      <c r="M150" s="15"/>
      <c r="N150" s="15"/>
      <c r="O150" s="15">
        <v>1</v>
      </c>
      <c r="P150" s="38"/>
      <c r="Q150" s="15">
        <v>0</v>
      </c>
      <c r="R150" s="15">
        <f t="shared" ref="R150:R153" si="182">36*0.1</f>
        <v>3.6</v>
      </c>
      <c r="S150" s="15">
        <f t="shared" ref="S150:S153" si="183">36*0.2</f>
        <v>7.2</v>
      </c>
      <c r="T150" s="15">
        <f t="shared" ref="T150:T153" si="184">36*0.3</f>
        <v>10.799999999999999</v>
      </c>
      <c r="U150" s="15">
        <f t="shared" ref="U150:U153" si="185">36*0.6</f>
        <v>21.599999999999998</v>
      </c>
      <c r="V150" s="15">
        <f t="shared" ref="V150:V153" si="186">36*1</f>
        <v>36</v>
      </c>
      <c r="W150" s="13"/>
      <c r="X150" s="15">
        <f t="shared" si="180"/>
        <v>0</v>
      </c>
      <c r="Y150" s="15">
        <f t="shared" si="180"/>
        <v>0</v>
      </c>
      <c r="Z150" s="15">
        <f t="shared" si="180"/>
        <v>0</v>
      </c>
      <c r="AA150" s="15">
        <f t="shared" si="180"/>
        <v>0</v>
      </c>
      <c r="AB150" s="15">
        <f t="shared" si="180"/>
        <v>0</v>
      </c>
      <c r="AC150" s="15">
        <f t="shared" si="180"/>
        <v>36</v>
      </c>
      <c r="AD150" s="15">
        <f t="shared" si="181"/>
        <v>36</v>
      </c>
      <c r="AE150" s="226"/>
    </row>
    <row r="151" spans="1:87" ht="70.5" customHeight="1" x14ac:dyDescent="0.25">
      <c r="A151" s="198"/>
      <c r="B151" s="197"/>
      <c r="C151" s="195"/>
      <c r="D151" s="182"/>
      <c r="E151" s="195"/>
      <c r="F151" s="182"/>
      <c r="G151" s="36">
        <v>3</v>
      </c>
      <c r="H151" s="60" t="s">
        <v>251</v>
      </c>
      <c r="I151" s="180"/>
      <c r="J151" s="15"/>
      <c r="K151" s="15"/>
      <c r="L151" s="15"/>
      <c r="M151" s="15"/>
      <c r="N151" s="15"/>
      <c r="O151" s="15">
        <v>1</v>
      </c>
      <c r="P151" s="38"/>
      <c r="Q151" s="15">
        <v>0</v>
      </c>
      <c r="R151" s="15">
        <f t="shared" si="182"/>
        <v>3.6</v>
      </c>
      <c r="S151" s="15">
        <f t="shared" si="183"/>
        <v>7.2</v>
      </c>
      <c r="T151" s="15">
        <f t="shared" si="184"/>
        <v>10.799999999999999</v>
      </c>
      <c r="U151" s="15">
        <f t="shared" si="185"/>
        <v>21.599999999999998</v>
      </c>
      <c r="V151" s="15">
        <f t="shared" si="186"/>
        <v>36</v>
      </c>
      <c r="W151" s="13"/>
      <c r="X151" s="15">
        <f t="shared" si="180"/>
        <v>0</v>
      </c>
      <c r="Y151" s="15">
        <f t="shared" si="180"/>
        <v>0</v>
      </c>
      <c r="Z151" s="15">
        <f t="shared" si="180"/>
        <v>0</v>
      </c>
      <c r="AA151" s="15">
        <f t="shared" si="180"/>
        <v>0</v>
      </c>
      <c r="AB151" s="15">
        <f t="shared" si="180"/>
        <v>0</v>
      </c>
      <c r="AC151" s="15">
        <f t="shared" si="180"/>
        <v>36</v>
      </c>
      <c r="AD151" s="15">
        <f t="shared" si="181"/>
        <v>36</v>
      </c>
      <c r="AE151" s="226"/>
    </row>
    <row r="152" spans="1:87" ht="90" customHeight="1" x14ac:dyDescent="0.25">
      <c r="A152" s="198"/>
      <c r="B152" s="197"/>
      <c r="C152" s="196"/>
      <c r="D152" s="183"/>
      <c r="E152" s="196"/>
      <c r="F152" s="183"/>
      <c r="G152" s="36">
        <v>4</v>
      </c>
      <c r="H152" s="60" t="s">
        <v>252</v>
      </c>
      <c r="I152" s="180"/>
      <c r="J152" s="15"/>
      <c r="K152" s="15"/>
      <c r="L152" s="15"/>
      <c r="M152" s="15"/>
      <c r="N152" s="15"/>
      <c r="O152" s="15">
        <v>1</v>
      </c>
      <c r="P152" s="38"/>
      <c r="Q152" s="15">
        <v>0</v>
      </c>
      <c r="R152" s="15">
        <f t="shared" si="182"/>
        <v>3.6</v>
      </c>
      <c r="S152" s="15">
        <f t="shared" si="183"/>
        <v>7.2</v>
      </c>
      <c r="T152" s="15">
        <f t="shared" si="184"/>
        <v>10.799999999999999</v>
      </c>
      <c r="U152" s="15">
        <f t="shared" si="185"/>
        <v>21.599999999999998</v>
      </c>
      <c r="V152" s="15">
        <f t="shared" si="186"/>
        <v>36</v>
      </c>
      <c r="W152" s="13"/>
      <c r="X152" s="15">
        <f t="shared" si="180"/>
        <v>0</v>
      </c>
      <c r="Y152" s="15">
        <f t="shared" si="180"/>
        <v>0</v>
      </c>
      <c r="Z152" s="15">
        <f t="shared" si="180"/>
        <v>0</v>
      </c>
      <c r="AA152" s="15">
        <f t="shared" si="180"/>
        <v>0</v>
      </c>
      <c r="AB152" s="15">
        <f t="shared" si="180"/>
        <v>0</v>
      </c>
      <c r="AC152" s="15">
        <f t="shared" si="180"/>
        <v>36</v>
      </c>
      <c r="AD152" s="15">
        <f t="shared" si="181"/>
        <v>36</v>
      </c>
      <c r="AE152" s="226"/>
    </row>
    <row r="153" spans="1:87" ht="78" customHeight="1" x14ac:dyDescent="0.25">
      <c r="A153" s="198"/>
      <c r="B153" s="197"/>
      <c r="C153" s="18"/>
      <c r="D153" s="37" t="s">
        <v>253</v>
      </c>
      <c r="E153" s="36"/>
      <c r="F153" s="37" t="s">
        <v>254</v>
      </c>
      <c r="G153" s="36">
        <v>5</v>
      </c>
      <c r="H153" s="60" t="s">
        <v>255</v>
      </c>
      <c r="I153" s="37" t="s">
        <v>316</v>
      </c>
      <c r="J153" s="15"/>
      <c r="K153" s="15"/>
      <c r="L153" s="15"/>
      <c r="M153" s="15"/>
      <c r="N153" s="15"/>
      <c r="O153" s="15">
        <v>1</v>
      </c>
      <c r="P153" s="31"/>
      <c r="Q153" s="15">
        <v>0</v>
      </c>
      <c r="R153" s="15">
        <f t="shared" si="182"/>
        <v>3.6</v>
      </c>
      <c r="S153" s="15">
        <f t="shared" si="183"/>
        <v>7.2</v>
      </c>
      <c r="T153" s="15">
        <f t="shared" si="184"/>
        <v>10.799999999999999</v>
      </c>
      <c r="U153" s="15">
        <f t="shared" si="185"/>
        <v>21.599999999999998</v>
      </c>
      <c r="V153" s="15">
        <f t="shared" si="186"/>
        <v>36</v>
      </c>
      <c r="W153" s="13"/>
      <c r="X153" s="15">
        <f t="shared" si="180"/>
        <v>0</v>
      </c>
      <c r="Y153" s="15">
        <f t="shared" si="180"/>
        <v>0</v>
      </c>
      <c r="Z153" s="15">
        <f t="shared" si="180"/>
        <v>0</v>
      </c>
      <c r="AA153" s="15">
        <f t="shared" si="180"/>
        <v>0</v>
      </c>
      <c r="AB153" s="15">
        <f t="shared" si="180"/>
        <v>0</v>
      </c>
      <c r="AC153" s="15">
        <f t="shared" si="180"/>
        <v>36</v>
      </c>
      <c r="AD153" s="15">
        <f t="shared" si="73"/>
        <v>36</v>
      </c>
      <c r="AE153" s="226"/>
    </row>
    <row r="154" spans="1:87" ht="28.5" x14ac:dyDescent="0.25">
      <c r="A154" s="207" t="s">
        <v>18</v>
      </c>
      <c r="B154" s="208"/>
      <c r="C154" s="208"/>
      <c r="D154" s="208"/>
      <c r="E154" s="208"/>
      <c r="F154" s="208"/>
      <c r="G154" s="208"/>
      <c r="H154" s="208"/>
      <c r="I154" s="208"/>
      <c r="J154" s="208"/>
      <c r="K154" s="208"/>
      <c r="L154" s="208"/>
      <c r="M154" s="208"/>
      <c r="N154" s="208"/>
      <c r="O154" s="208"/>
      <c r="P154" s="208"/>
      <c r="Q154" s="208"/>
      <c r="R154" s="208"/>
      <c r="S154" s="208"/>
      <c r="T154" s="208"/>
      <c r="U154" s="208"/>
      <c r="V154" s="208"/>
      <c r="W154" s="208"/>
      <c r="X154" s="208"/>
      <c r="Y154" s="208"/>
      <c r="Z154" s="208"/>
      <c r="AA154" s="208"/>
      <c r="AB154" s="208"/>
      <c r="AC154" s="208"/>
      <c r="AD154" s="209"/>
      <c r="AE154" s="16">
        <f>SUM(AE5:AE153)</f>
        <v>2000</v>
      </c>
      <c r="AF154" s="19"/>
      <c r="AG154" s="19"/>
      <c r="AH154" s="19"/>
      <c r="AI154" s="19"/>
      <c r="AJ154" s="19"/>
      <c r="AK154" s="19"/>
      <c r="AL154" s="19"/>
      <c r="AM154" s="19"/>
      <c r="AN154" s="19"/>
      <c r="AO154" s="19"/>
      <c r="AP154" s="19"/>
      <c r="AQ154" s="19"/>
      <c r="AR154" s="19"/>
      <c r="AS154" s="19"/>
      <c r="AT154" s="19"/>
      <c r="AU154" s="19"/>
      <c r="AV154" s="19"/>
      <c r="AW154" s="19"/>
      <c r="AX154" s="19"/>
      <c r="AY154" s="19"/>
      <c r="AZ154" s="19"/>
      <c r="BA154" s="19"/>
      <c r="BB154" s="19"/>
      <c r="BC154" s="19"/>
      <c r="BD154" s="19"/>
      <c r="BE154" s="19"/>
      <c r="BF154" s="19"/>
      <c r="BG154" s="19"/>
      <c r="BH154" s="20"/>
      <c r="BI154" s="20"/>
      <c r="BJ154" s="20"/>
      <c r="BK154" s="20"/>
      <c r="BL154" s="20"/>
      <c r="BM154" s="20"/>
      <c r="BN154" s="20"/>
      <c r="BO154" s="20"/>
      <c r="BP154" s="20"/>
      <c r="BQ154" s="20"/>
      <c r="BR154" s="20"/>
      <c r="BS154" s="20"/>
      <c r="BT154" s="20"/>
      <c r="BU154" s="20"/>
      <c r="BV154" s="20"/>
      <c r="BW154" s="20"/>
      <c r="BX154" s="20"/>
      <c r="BY154" s="20"/>
      <c r="BZ154" s="20"/>
      <c r="CA154" s="20"/>
      <c r="CB154" s="20"/>
      <c r="CC154" s="20"/>
      <c r="CD154" s="20"/>
      <c r="CE154" s="20"/>
      <c r="CF154" s="20"/>
      <c r="CG154" s="20"/>
      <c r="CH154" s="20"/>
      <c r="CI154" s="20"/>
    </row>
    <row r="156" spans="1:87" x14ac:dyDescent="0.25">
      <c r="H156" s="62" t="s">
        <v>83</v>
      </c>
      <c r="I156" s="7" t="s">
        <v>82</v>
      </c>
    </row>
    <row r="157" spans="1:87" x14ac:dyDescent="0.25">
      <c r="H157" s="62" t="s">
        <v>80</v>
      </c>
      <c r="I157" s="7" t="s">
        <v>81</v>
      </c>
    </row>
    <row r="158" spans="1:87" x14ac:dyDescent="0.25">
      <c r="H158" s="62" t="s">
        <v>78</v>
      </c>
      <c r="I158" s="7" t="s">
        <v>79</v>
      </c>
    </row>
    <row r="159" spans="1:87" x14ac:dyDescent="0.25">
      <c r="H159" s="62" t="s">
        <v>76</v>
      </c>
      <c r="I159" s="7" t="s">
        <v>77</v>
      </c>
    </row>
    <row r="160" spans="1:87" x14ac:dyDescent="0.25">
      <c r="H160" s="62" t="s">
        <v>74</v>
      </c>
      <c r="I160" s="7" t="s">
        <v>75</v>
      </c>
    </row>
  </sheetData>
  <mergeCells count="258">
    <mergeCell ref="I5:I6"/>
    <mergeCell ref="P41:P42"/>
    <mergeCell ref="P66:P67"/>
    <mergeCell ref="P68:P69"/>
    <mergeCell ref="P70:P71"/>
    <mergeCell ref="AE5:AE42"/>
    <mergeCell ref="AE43:AE59"/>
    <mergeCell ref="B149:B153"/>
    <mergeCell ref="P5:P6"/>
    <mergeCell ref="P7:P8"/>
    <mergeCell ref="P9:P10"/>
    <mergeCell ref="P24:P25"/>
    <mergeCell ref="AE102:AE111"/>
    <mergeCell ref="AE112:AE121"/>
    <mergeCell ref="AE122:AE127"/>
    <mergeCell ref="AE128:AE130"/>
    <mergeCell ref="AE131:AE142"/>
    <mergeCell ref="AE143:AE148"/>
    <mergeCell ref="AE149:AE153"/>
    <mergeCell ref="AE60:AE88"/>
    <mergeCell ref="AE89:AE90"/>
    <mergeCell ref="AE91:AE101"/>
    <mergeCell ref="F5:F6"/>
    <mergeCell ref="P98:P99"/>
    <mergeCell ref="P100:P101"/>
    <mergeCell ref="P80:P81"/>
    <mergeCell ref="P82:P83"/>
    <mergeCell ref="P90:P91"/>
    <mergeCell ref="P92:P93"/>
    <mergeCell ref="F70:F72"/>
    <mergeCell ref="D70:D72"/>
    <mergeCell ref="D74:D88"/>
    <mergeCell ref="P72:P73"/>
    <mergeCell ref="P74:P75"/>
    <mergeCell ref="P76:P77"/>
    <mergeCell ref="P78:P79"/>
    <mergeCell ref="F74:F88"/>
    <mergeCell ref="F89:F90"/>
    <mergeCell ref="D89:D90"/>
    <mergeCell ref="E70:E72"/>
    <mergeCell ref="E95:E99"/>
    <mergeCell ref="P44:P45"/>
    <mergeCell ref="P46:P47"/>
    <mergeCell ref="P48:P49"/>
    <mergeCell ref="P64:P65"/>
    <mergeCell ref="P57:P59"/>
    <mergeCell ref="P50:P51"/>
    <mergeCell ref="P52:P53"/>
    <mergeCell ref="P54:P55"/>
    <mergeCell ref="J3:O3"/>
    <mergeCell ref="A1:AE1"/>
    <mergeCell ref="A2:D2"/>
    <mergeCell ref="AD3:AD4"/>
    <mergeCell ref="AE3:AE4"/>
    <mergeCell ref="A3:A4"/>
    <mergeCell ref="B3:B4"/>
    <mergeCell ref="P3:P4"/>
    <mergeCell ref="W3:W4"/>
    <mergeCell ref="X3:AC4"/>
    <mergeCell ref="Q3:V3"/>
    <mergeCell ref="C3:D4"/>
    <mergeCell ref="E3:F4"/>
    <mergeCell ref="I3:I4"/>
    <mergeCell ref="G3:H4"/>
    <mergeCell ref="P2:AE2"/>
    <mergeCell ref="E2:O2"/>
    <mergeCell ref="D7:D8"/>
    <mergeCell ref="F7:F8"/>
    <mergeCell ref="E7:E8"/>
    <mergeCell ref="C7:C8"/>
    <mergeCell ref="A154:AD154"/>
    <mergeCell ref="P11:P12"/>
    <mergeCell ref="P13:P14"/>
    <mergeCell ref="P60:P61"/>
    <mergeCell ref="P27:P28"/>
    <mergeCell ref="P29:P30"/>
    <mergeCell ref="P31:P32"/>
    <mergeCell ref="P33:P34"/>
    <mergeCell ref="P35:P36"/>
    <mergeCell ref="P37:P38"/>
    <mergeCell ref="P39:P40"/>
    <mergeCell ref="P15:P16"/>
    <mergeCell ref="P17:P18"/>
    <mergeCell ref="P19:P20"/>
    <mergeCell ref="P21:P22"/>
    <mergeCell ref="P62:P63"/>
    <mergeCell ref="F9:F18"/>
    <mergeCell ref="A149:A153"/>
    <mergeCell ref="B143:B148"/>
    <mergeCell ref="A143:A148"/>
    <mergeCell ref="F19:F21"/>
    <mergeCell ref="F22:F23"/>
    <mergeCell ref="F24:F25"/>
    <mergeCell ref="D24:D32"/>
    <mergeCell ref="F26:F29"/>
    <mergeCell ref="F30:F32"/>
    <mergeCell ref="E30:E32"/>
    <mergeCell ref="E26:E29"/>
    <mergeCell ref="E24:E25"/>
    <mergeCell ref="E22:E23"/>
    <mergeCell ref="E19:E21"/>
    <mergeCell ref="F33:F37"/>
    <mergeCell ref="D33:D42"/>
    <mergeCell ref="F38:F40"/>
    <mergeCell ref="F41:F42"/>
    <mergeCell ref="F43:F49"/>
    <mergeCell ref="D43:D49"/>
    <mergeCell ref="E41:E42"/>
    <mergeCell ref="E38:E40"/>
    <mergeCell ref="D58:D59"/>
    <mergeCell ref="F58:F59"/>
    <mergeCell ref="E58:E59"/>
    <mergeCell ref="F50:F56"/>
    <mergeCell ref="D50:D56"/>
    <mergeCell ref="F60:F61"/>
    <mergeCell ref="D60:D61"/>
    <mergeCell ref="D62:D69"/>
    <mergeCell ref="F62:F69"/>
    <mergeCell ref="E50:E56"/>
    <mergeCell ref="E89:E90"/>
    <mergeCell ref="F102:F103"/>
    <mergeCell ref="D102:D103"/>
    <mergeCell ref="F104:F109"/>
    <mergeCell ref="D104:D109"/>
    <mergeCell ref="F110:F111"/>
    <mergeCell ref="D110:D111"/>
    <mergeCell ref="E102:E103"/>
    <mergeCell ref="F91:F94"/>
    <mergeCell ref="D91:D94"/>
    <mergeCell ref="F95:F99"/>
    <mergeCell ref="D95:D99"/>
    <mergeCell ref="F100:F101"/>
    <mergeCell ref="D100:D101"/>
    <mergeCell ref="E91:E94"/>
    <mergeCell ref="F122:F123"/>
    <mergeCell ref="D122:D123"/>
    <mergeCell ref="F124:F127"/>
    <mergeCell ref="D124:D127"/>
    <mergeCell ref="F128:F130"/>
    <mergeCell ref="D128:D130"/>
    <mergeCell ref="E124:E127"/>
    <mergeCell ref="E122:E123"/>
    <mergeCell ref="F112:F115"/>
    <mergeCell ref="D112:D115"/>
    <mergeCell ref="F116:F118"/>
    <mergeCell ref="D116:D118"/>
    <mergeCell ref="F119:F121"/>
    <mergeCell ref="D119:D121"/>
    <mergeCell ref="E116:E118"/>
    <mergeCell ref="F147:F148"/>
    <mergeCell ref="D147:D148"/>
    <mergeCell ref="F149:F152"/>
    <mergeCell ref="D149:D152"/>
    <mergeCell ref="E149:E152"/>
    <mergeCell ref="F131:F135"/>
    <mergeCell ref="D131:D135"/>
    <mergeCell ref="F136:F142"/>
    <mergeCell ref="D136:D142"/>
    <mergeCell ref="F143:F146"/>
    <mergeCell ref="D143:D146"/>
    <mergeCell ref="E136:E142"/>
    <mergeCell ref="E131:E135"/>
    <mergeCell ref="C131:C135"/>
    <mergeCell ref="E128:E130"/>
    <mergeCell ref="C128:C130"/>
    <mergeCell ref="E100:E101"/>
    <mergeCell ref="C100:C101"/>
    <mergeCell ref="C149:C152"/>
    <mergeCell ref="E147:E148"/>
    <mergeCell ref="C147:C148"/>
    <mergeCell ref="E143:E146"/>
    <mergeCell ref="C143:C146"/>
    <mergeCell ref="E112:E115"/>
    <mergeCell ref="C112:C115"/>
    <mergeCell ref="E104:E109"/>
    <mergeCell ref="C104:C109"/>
    <mergeCell ref="E110:E111"/>
    <mergeCell ref="C110:C111"/>
    <mergeCell ref="E119:E121"/>
    <mergeCell ref="C119:C121"/>
    <mergeCell ref="C33:C42"/>
    <mergeCell ref="E33:E37"/>
    <mergeCell ref="C70:C72"/>
    <mergeCell ref="E62:E69"/>
    <mergeCell ref="E60:E61"/>
    <mergeCell ref="C60:C61"/>
    <mergeCell ref="C62:C69"/>
    <mergeCell ref="C24:C32"/>
    <mergeCell ref="A60:A88"/>
    <mergeCell ref="B43:B59"/>
    <mergeCell ref="A43:A59"/>
    <mergeCell ref="B5:B42"/>
    <mergeCell ref="A5:A42"/>
    <mergeCell ref="C9:C23"/>
    <mergeCell ref="E74:E88"/>
    <mergeCell ref="C74:C88"/>
    <mergeCell ref="E43:E49"/>
    <mergeCell ref="C43:C49"/>
    <mergeCell ref="C58:C59"/>
    <mergeCell ref="D9:D23"/>
    <mergeCell ref="E9:E18"/>
    <mergeCell ref="D5:D6"/>
    <mergeCell ref="E5:E6"/>
    <mergeCell ref="C5:C6"/>
    <mergeCell ref="B91:B101"/>
    <mergeCell ref="A91:A101"/>
    <mergeCell ref="B89:B90"/>
    <mergeCell ref="A89:A90"/>
    <mergeCell ref="B60:B88"/>
    <mergeCell ref="C50:C56"/>
    <mergeCell ref="C91:C94"/>
    <mergeCell ref="B131:B142"/>
    <mergeCell ref="A131:A142"/>
    <mergeCell ref="B128:B130"/>
    <mergeCell ref="A128:A130"/>
    <mergeCell ref="B122:B127"/>
    <mergeCell ref="A122:A127"/>
    <mergeCell ref="B112:B121"/>
    <mergeCell ref="A112:A121"/>
    <mergeCell ref="B102:B111"/>
    <mergeCell ref="A102:A111"/>
    <mergeCell ref="C89:C90"/>
    <mergeCell ref="C102:C103"/>
    <mergeCell ref="C124:C127"/>
    <mergeCell ref="C95:C99"/>
    <mergeCell ref="C116:C118"/>
    <mergeCell ref="C136:C142"/>
    <mergeCell ref="C122:C123"/>
    <mergeCell ref="I7:I8"/>
    <mergeCell ref="I9:I23"/>
    <mergeCell ref="I24:I32"/>
    <mergeCell ref="I33:I37"/>
    <mergeCell ref="I38:I42"/>
    <mergeCell ref="I43:I49"/>
    <mergeCell ref="I58:I59"/>
    <mergeCell ref="I60:I61"/>
    <mergeCell ref="I50:I56"/>
    <mergeCell ref="I62:I69"/>
    <mergeCell ref="I70:I72"/>
    <mergeCell ref="I74:I88"/>
    <mergeCell ref="I89:I90"/>
    <mergeCell ref="I91:I94"/>
    <mergeCell ref="I95:I99"/>
    <mergeCell ref="I100:I101"/>
    <mergeCell ref="I102:I103"/>
    <mergeCell ref="I104:I109"/>
    <mergeCell ref="I147:I148"/>
    <mergeCell ref="I149:I152"/>
    <mergeCell ref="I110:I111"/>
    <mergeCell ref="I112:I115"/>
    <mergeCell ref="I116:I118"/>
    <mergeCell ref="I122:I123"/>
    <mergeCell ref="I124:I127"/>
    <mergeCell ref="I128:I130"/>
    <mergeCell ref="I131:I135"/>
    <mergeCell ref="I136:I142"/>
    <mergeCell ref="I143:I146"/>
    <mergeCell ref="I119:I121"/>
  </mergeCells>
  <conditionalFormatting sqref="K153:N153 K5:N101 K129:N129 K142:N142 O5:O153">
    <cfRule type="cellIs" dxfId="25" priority="250" operator="equal">
      <formula>$V$5</formula>
    </cfRule>
  </conditionalFormatting>
  <conditionalFormatting sqref="K151:N152">
    <cfRule type="cellIs" dxfId="24" priority="227" operator="equal">
      <formula>$V$5</formula>
    </cfRule>
  </conditionalFormatting>
  <conditionalFormatting sqref="K151:K152">
    <cfRule type="colorScale" priority="228">
      <colorScale>
        <cfvo type="min"/>
        <cfvo type="percentile" val="50"/>
        <cfvo type="max"/>
        <color rgb="FFF8696B"/>
        <color rgb="FFFCFCFF"/>
        <color rgb="FF63BE7B"/>
      </colorScale>
    </cfRule>
  </conditionalFormatting>
  <conditionalFormatting sqref="L151:L152">
    <cfRule type="colorScale" priority="229">
      <colorScale>
        <cfvo type="min"/>
        <cfvo type="percentile" val="50"/>
        <cfvo type="max"/>
        <color rgb="FFF8696B"/>
        <color rgb="FFFCFCFF"/>
        <color rgb="FF63BE7B"/>
      </colorScale>
    </cfRule>
  </conditionalFormatting>
  <conditionalFormatting sqref="M151:M152">
    <cfRule type="colorScale" priority="230">
      <colorScale>
        <cfvo type="min"/>
        <cfvo type="percentile" val="50"/>
        <cfvo type="max"/>
        <color rgb="FFF8696B"/>
        <color rgb="FFFCFCFF"/>
        <color rgb="FF63BE7B"/>
      </colorScale>
    </cfRule>
  </conditionalFormatting>
  <conditionalFormatting sqref="N151:N152">
    <cfRule type="colorScale" priority="231">
      <colorScale>
        <cfvo type="min"/>
        <cfvo type="percentile" val="50"/>
        <cfvo type="max"/>
        <color rgb="FFF8696B"/>
        <color rgb="FFFCFCFF"/>
        <color rgb="FF63BE7B"/>
      </colorScale>
    </cfRule>
  </conditionalFormatting>
  <conditionalFormatting sqref="J151:J152">
    <cfRule type="colorScale" priority="232">
      <colorScale>
        <cfvo type="min"/>
        <cfvo type="percentile" val="50"/>
        <cfvo type="max"/>
        <color rgb="FFF8696B"/>
        <color rgb="FFFCFCFF"/>
        <color rgb="FF63BE7B"/>
      </colorScale>
    </cfRule>
  </conditionalFormatting>
  <conditionalFormatting sqref="K127:N128">
    <cfRule type="cellIs" dxfId="23" priority="219" operator="equal">
      <formula>$V$5</formula>
    </cfRule>
  </conditionalFormatting>
  <conditionalFormatting sqref="K127:K128">
    <cfRule type="colorScale" priority="220">
      <colorScale>
        <cfvo type="min"/>
        <cfvo type="percentile" val="50"/>
        <cfvo type="max"/>
        <color rgb="FFF8696B"/>
        <color rgb="FFFCFCFF"/>
        <color rgb="FF63BE7B"/>
      </colorScale>
    </cfRule>
  </conditionalFormatting>
  <conditionalFormatting sqref="L127:L128">
    <cfRule type="colorScale" priority="221">
      <colorScale>
        <cfvo type="min"/>
        <cfvo type="percentile" val="50"/>
        <cfvo type="max"/>
        <color rgb="FFF8696B"/>
        <color rgb="FFFCFCFF"/>
        <color rgb="FF63BE7B"/>
      </colorScale>
    </cfRule>
  </conditionalFormatting>
  <conditionalFormatting sqref="M127:M128">
    <cfRule type="colorScale" priority="222">
      <colorScale>
        <cfvo type="min"/>
        <cfvo type="percentile" val="50"/>
        <cfvo type="max"/>
        <color rgb="FFF8696B"/>
        <color rgb="FFFCFCFF"/>
        <color rgb="FF63BE7B"/>
      </colorScale>
    </cfRule>
  </conditionalFormatting>
  <conditionalFormatting sqref="N127:N128">
    <cfRule type="colorScale" priority="223">
      <colorScale>
        <cfvo type="min"/>
        <cfvo type="percentile" val="50"/>
        <cfvo type="max"/>
        <color rgb="FFF8696B"/>
        <color rgb="FFFCFCFF"/>
        <color rgb="FF63BE7B"/>
      </colorScale>
    </cfRule>
  </conditionalFormatting>
  <conditionalFormatting sqref="J127:J128">
    <cfRule type="colorScale" priority="224">
      <colorScale>
        <cfvo type="min"/>
        <cfvo type="percentile" val="50"/>
        <cfvo type="max"/>
        <color rgb="FFF8696B"/>
        <color rgb="FFFCFCFF"/>
        <color rgb="FF63BE7B"/>
      </colorScale>
    </cfRule>
  </conditionalFormatting>
  <conditionalFormatting sqref="K125:N126">
    <cfRule type="cellIs" dxfId="22" priority="211" operator="equal">
      <formula>$V$5</formula>
    </cfRule>
  </conditionalFormatting>
  <conditionalFormatting sqref="K125:K126">
    <cfRule type="colorScale" priority="212">
      <colorScale>
        <cfvo type="min"/>
        <cfvo type="percentile" val="50"/>
        <cfvo type="max"/>
        <color rgb="FFF8696B"/>
        <color rgb="FFFCFCFF"/>
        <color rgb="FF63BE7B"/>
      </colorScale>
    </cfRule>
  </conditionalFormatting>
  <conditionalFormatting sqref="L125:L126">
    <cfRule type="colorScale" priority="213">
      <colorScale>
        <cfvo type="min"/>
        <cfvo type="percentile" val="50"/>
        <cfvo type="max"/>
        <color rgb="FFF8696B"/>
        <color rgb="FFFCFCFF"/>
        <color rgb="FF63BE7B"/>
      </colorScale>
    </cfRule>
  </conditionalFormatting>
  <conditionalFormatting sqref="M125:M126">
    <cfRule type="colorScale" priority="214">
      <colorScale>
        <cfvo type="min"/>
        <cfvo type="percentile" val="50"/>
        <cfvo type="max"/>
        <color rgb="FFF8696B"/>
        <color rgb="FFFCFCFF"/>
        <color rgb="FF63BE7B"/>
      </colorScale>
    </cfRule>
  </conditionalFormatting>
  <conditionalFormatting sqref="N125:N126">
    <cfRule type="colorScale" priority="215">
      <colorScale>
        <cfvo type="min"/>
        <cfvo type="percentile" val="50"/>
        <cfvo type="max"/>
        <color rgb="FFF8696B"/>
        <color rgb="FFFCFCFF"/>
        <color rgb="FF63BE7B"/>
      </colorScale>
    </cfRule>
  </conditionalFormatting>
  <conditionalFormatting sqref="J125:J126">
    <cfRule type="colorScale" priority="216">
      <colorScale>
        <cfvo type="min"/>
        <cfvo type="percentile" val="50"/>
        <cfvo type="max"/>
        <color rgb="FFF8696B"/>
        <color rgb="FFFCFCFF"/>
        <color rgb="FF63BE7B"/>
      </colorScale>
    </cfRule>
  </conditionalFormatting>
  <conditionalFormatting sqref="K123:N124">
    <cfRule type="cellIs" dxfId="21" priority="203" operator="equal">
      <formula>$V$5</formula>
    </cfRule>
  </conditionalFormatting>
  <conditionalFormatting sqref="K123:K124">
    <cfRule type="colorScale" priority="204">
      <colorScale>
        <cfvo type="min"/>
        <cfvo type="percentile" val="50"/>
        <cfvo type="max"/>
        <color rgb="FFF8696B"/>
        <color rgb="FFFCFCFF"/>
        <color rgb="FF63BE7B"/>
      </colorScale>
    </cfRule>
  </conditionalFormatting>
  <conditionalFormatting sqref="L123:L124">
    <cfRule type="colorScale" priority="205">
      <colorScale>
        <cfvo type="min"/>
        <cfvo type="percentile" val="50"/>
        <cfvo type="max"/>
        <color rgb="FFF8696B"/>
        <color rgb="FFFCFCFF"/>
        <color rgb="FF63BE7B"/>
      </colorScale>
    </cfRule>
  </conditionalFormatting>
  <conditionalFormatting sqref="M123:M124">
    <cfRule type="colorScale" priority="206">
      <colorScale>
        <cfvo type="min"/>
        <cfvo type="percentile" val="50"/>
        <cfvo type="max"/>
        <color rgb="FFF8696B"/>
        <color rgb="FFFCFCFF"/>
        <color rgb="FF63BE7B"/>
      </colorScale>
    </cfRule>
  </conditionalFormatting>
  <conditionalFormatting sqref="N123:N124">
    <cfRule type="colorScale" priority="207">
      <colorScale>
        <cfvo type="min"/>
        <cfvo type="percentile" val="50"/>
        <cfvo type="max"/>
        <color rgb="FFF8696B"/>
        <color rgb="FFFCFCFF"/>
        <color rgb="FF63BE7B"/>
      </colorScale>
    </cfRule>
  </conditionalFormatting>
  <conditionalFormatting sqref="J123:J124">
    <cfRule type="colorScale" priority="208">
      <colorScale>
        <cfvo type="min"/>
        <cfvo type="percentile" val="50"/>
        <cfvo type="max"/>
        <color rgb="FFF8696B"/>
        <color rgb="FFFCFCFF"/>
        <color rgb="FF63BE7B"/>
      </colorScale>
    </cfRule>
  </conditionalFormatting>
  <conditionalFormatting sqref="K121:N122">
    <cfRule type="cellIs" dxfId="20" priority="195" operator="equal">
      <formula>$V$5</formula>
    </cfRule>
  </conditionalFormatting>
  <conditionalFormatting sqref="K121:K122">
    <cfRule type="colorScale" priority="196">
      <colorScale>
        <cfvo type="min"/>
        <cfvo type="percentile" val="50"/>
        <cfvo type="max"/>
        <color rgb="FFF8696B"/>
        <color rgb="FFFCFCFF"/>
        <color rgb="FF63BE7B"/>
      </colorScale>
    </cfRule>
  </conditionalFormatting>
  <conditionalFormatting sqref="L121:L122">
    <cfRule type="colorScale" priority="197">
      <colorScale>
        <cfvo type="min"/>
        <cfvo type="percentile" val="50"/>
        <cfvo type="max"/>
        <color rgb="FFF8696B"/>
        <color rgb="FFFCFCFF"/>
        <color rgb="FF63BE7B"/>
      </colorScale>
    </cfRule>
  </conditionalFormatting>
  <conditionalFormatting sqref="M121:M122">
    <cfRule type="colorScale" priority="198">
      <colorScale>
        <cfvo type="min"/>
        <cfvo type="percentile" val="50"/>
        <cfvo type="max"/>
        <color rgb="FFF8696B"/>
        <color rgb="FFFCFCFF"/>
        <color rgb="FF63BE7B"/>
      </colorScale>
    </cfRule>
  </conditionalFormatting>
  <conditionalFormatting sqref="N121:N122">
    <cfRule type="colorScale" priority="199">
      <colorScale>
        <cfvo type="min"/>
        <cfvo type="percentile" val="50"/>
        <cfvo type="max"/>
        <color rgb="FFF8696B"/>
        <color rgb="FFFCFCFF"/>
        <color rgb="FF63BE7B"/>
      </colorScale>
    </cfRule>
  </conditionalFormatting>
  <conditionalFormatting sqref="J121:J122">
    <cfRule type="colorScale" priority="200">
      <colorScale>
        <cfvo type="min"/>
        <cfvo type="percentile" val="50"/>
        <cfvo type="max"/>
        <color rgb="FFF8696B"/>
        <color rgb="FFFCFCFF"/>
        <color rgb="FF63BE7B"/>
      </colorScale>
    </cfRule>
  </conditionalFormatting>
  <conditionalFormatting sqref="K119:N120">
    <cfRule type="cellIs" dxfId="19" priority="187" operator="equal">
      <formula>$V$5</formula>
    </cfRule>
  </conditionalFormatting>
  <conditionalFormatting sqref="K119:K120">
    <cfRule type="colorScale" priority="188">
      <colorScale>
        <cfvo type="min"/>
        <cfvo type="percentile" val="50"/>
        <cfvo type="max"/>
        <color rgb="FFF8696B"/>
        <color rgb="FFFCFCFF"/>
        <color rgb="FF63BE7B"/>
      </colorScale>
    </cfRule>
  </conditionalFormatting>
  <conditionalFormatting sqref="L119:L120">
    <cfRule type="colorScale" priority="189">
      <colorScale>
        <cfvo type="min"/>
        <cfvo type="percentile" val="50"/>
        <cfvo type="max"/>
        <color rgb="FFF8696B"/>
        <color rgb="FFFCFCFF"/>
        <color rgb="FF63BE7B"/>
      </colorScale>
    </cfRule>
  </conditionalFormatting>
  <conditionalFormatting sqref="M119:M120">
    <cfRule type="colorScale" priority="190">
      <colorScale>
        <cfvo type="min"/>
        <cfvo type="percentile" val="50"/>
        <cfvo type="max"/>
        <color rgb="FFF8696B"/>
        <color rgb="FFFCFCFF"/>
        <color rgb="FF63BE7B"/>
      </colorScale>
    </cfRule>
  </conditionalFormatting>
  <conditionalFormatting sqref="N119:N120">
    <cfRule type="colorScale" priority="191">
      <colorScale>
        <cfvo type="min"/>
        <cfvo type="percentile" val="50"/>
        <cfvo type="max"/>
        <color rgb="FFF8696B"/>
        <color rgb="FFFCFCFF"/>
        <color rgb="FF63BE7B"/>
      </colorScale>
    </cfRule>
  </conditionalFormatting>
  <conditionalFormatting sqref="J119:J120">
    <cfRule type="colorScale" priority="192">
      <colorScale>
        <cfvo type="min"/>
        <cfvo type="percentile" val="50"/>
        <cfvo type="max"/>
        <color rgb="FFF8696B"/>
        <color rgb="FFFCFCFF"/>
        <color rgb="FF63BE7B"/>
      </colorScale>
    </cfRule>
  </conditionalFormatting>
  <conditionalFormatting sqref="K117:N118">
    <cfRule type="cellIs" dxfId="18" priority="179" operator="equal">
      <formula>$V$5</formula>
    </cfRule>
  </conditionalFormatting>
  <conditionalFormatting sqref="K117:K118">
    <cfRule type="colorScale" priority="180">
      <colorScale>
        <cfvo type="min"/>
        <cfvo type="percentile" val="50"/>
        <cfvo type="max"/>
        <color rgb="FFF8696B"/>
        <color rgb="FFFCFCFF"/>
        <color rgb="FF63BE7B"/>
      </colorScale>
    </cfRule>
  </conditionalFormatting>
  <conditionalFormatting sqref="L117:L118">
    <cfRule type="colorScale" priority="181">
      <colorScale>
        <cfvo type="min"/>
        <cfvo type="percentile" val="50"/>
        <cfvo type="max"/>
        <color rgb="FFF8696B"/>
        <color rgb="FFFCFCFF"/>
        <color rgb="FF63BE7B"/>
      </colorScale>
    </cfRule>
  </conditionalFormatting>
  <conditionalFormatting sqref="M117:M118">
    <cfRule type="colorScale" priority="182">
      <colorScale>
        <cfvo type="min"/>
        <cfvo type="percentile" val="50"/>
        <cfvo type="max"/>
        <color rgb="FFF8696B"/>
        <color rgb="FFFCFCFF"/>
        <color rgb="FF63BE7B"/>
      </colorScale>
    </cfRule>
  </conditionalFormatting>
  <conditionalFormatting sqref="N117:N118">
    <cfRule type="colorScale" priority="183">
      <colorScale>
        <cfvo type="min"/>
        <cfvo type="percentile" val="50"/>
        <cfvo type="max"/>
        <color rgb="FFF8696B"/>
        <color rgb="FFFCFCFF"/>
        <color rgb="FF63BE7B"/>
      </colorScale>
    </cfRule>
  </conditionalFormatting>
  <conditionalFormatting sqref="J117:J118">
    <cfRule type="colorScale" priority="184">
      <colorScale>
        <cfvo type="min"/>
        <cfvo type="percentile" val="50"/>
        <cfvo type="max"/>
        <color rgb="FFF8696B"/>
        <color rgb="FFFCFCFF"/>
        <color rgb="FF63BE7B"/>
      </colorScale>
    </cfRule>
  </conditionalFormatting>
  <conditionalFormatting sqref="K115:N116">
    <cfRule type="cellIs" dxfId="17" priority="171" operator="equal">
      <formula>$V$5</formula>
    </cfRule>
  </conditionalFormatting>
  <conditionalFormatting sqref="K115:K116">
    <cfRule type="colorScale" priority="172">
      <colorScale>
        <cfvo type="min"/>
        <cfvo type="percentile" val="50"/>
        <cfvo type="max"/>
        <color rgb="FFF8696B"/>
        <color rgb="FFFCFCFF"/>
        <color rgb="FF63BE7B"/>
      </colorScale>
    </cfRule>
  </conditionalFormatting>
  <conditionalFormatting sqref="L115:L116">
    <cfRule type="colorScale" priority="173">
      <colorScale>
        <cfvo type="min"/>
        <cfvo type="percentile" val="50"/>
        <cfvo type="max"/>
        <color rgb="FFF8696B"/>
        <color rgb="FFFCFCFF"/>
        <color rgb="FF63BE7B"/>
      </colorScale>
    </cfRule>
  </conditionalFormatting>
  <conditionalFormatting sqref="M115:M116">
    <cfRule type="colorScale" priority="174">
      <colorScale>
        <cfvo type="min"/>
        <cfvo type="percentile" val="50"/>
        <cfvo type="max"/>
        <color rgb="FFF8696B"/>
        <color rgb="FFFCFCFF"/>
        <color rgb="FF63BE7B"/>
      </colorScale>
    </cfRule>
  </conditionalFormatting>
  <conditionalFormatting sqref="N115:N116">
    <cfRule type="colorScale" priority="175">
      <colorScale>
        <cfvo type="min"/>
        <cfvo type="percentile" val="50"/>
        <cfvo type="max"/>
        <color rgb="FFF8696B"/>
        <color rgb="FFFCFCFF"/>
        <color rgb="FF63BE7B"/>
      </colorScale>
    </cfRule>
  </conditionalFormatting>
  <conditionalFormatting sqref="J115:J116">
    <cfRule type="colorScale" priority="176">
      <colorScale>
        <cfvo type="min"/>
        <cfvo type="percentile" val="50"/>
        <cfvo type="max"/>
        <color rgb="FFF8696B"/>
        <color rgb="FFFCFCFF"/>
        <color rgb="FF63BE7B"/>
      </colorScale>
    </cfRule>
  </conditionalFormatting>
  <conditionalFormatting sqref="K113:N114">
    <cfRule type="cellIs" dxfId="16" priority="163" operator="equal">
      <formula>$V$5</formula>
    </cfRule>
  </conditionalFormatting>
  <conditionalFormatting sqref="K113:K114">
    <cfRule type="colorScale" priority="164">
      <colorScale>
        <cfvo type="min"/>
        <cfvo type="percentile" val="50"/>
        <cfvo type="max"/>
        <color rgb="FFF8696B"/>
        <color rgb="FFFCFCFF"/>
        <color rgb="FF63BE7B"/>
      </colorScale>
    </cfRule>
  </conditionalFormatting>
  <conditionalFormatting sqref="L113:L114">
    <cfRule type="colorScale" priority="165">
      <colorScale>
        <cfvo type="min"/>
        <cfvo type="percentile" val="50"/>
        <cfvo type="max"/>
        <color rgb="FFF8696B"/>
        <color rgb="FFFCFCFF"/>
        <color rgb="FF63BE7B"/>
      </colorScale>
    </cfRule>
  </conditionalFormatting>
  <conditionalFormatting sqref="M113:M114">
    <cfRule type="colorScale" priority="166">
      <colorScale>
        <cfvo type="min"/>
        <cfvo type="percentile" val="50"/>
        <cfvo type="max"/>
        <color rgb="FFF8696B"/>
        <color rgb="FFFCFCFF"/>
        <color rgb="FF63BE7B"/>
      </colorScale>
    </cfRule>
  </conditionalFormatting>
  <conditionalFormatting sqref="N113:N114">
    <cfRule type="colorScale" priority="167">
      <colorScale>
        <cfvo type="min"/>
        <cfvo type="percentile" val="50"/>
        <cfvo type="max"/>
        <color rgb="FFF8696B"/>
        <color rgb="FFFCFCFF"/>
        <color rgb="FF63BE7B"/>
      </colorScale>
    </cfRule>
  </conditionalFormatting>
  <conditionalFormatting sqref="J113:J114">
    <cfRule type="colorScale" priority="168">
      <colorScale>
        <cfvo type="min"/>
        <cfvo type="percentile" val="50"/>
        <cfvo type="max"/>
        <color rgb="FFF8696B"/>
        <color rgb="FFFCFCFF"/>
        <color rgb="FF63BE7B"/>
      </colorScale>
    </cfRule>
  </conditionalFormatting>
  <conditionalFormatting sqref="K111:N112">
    <cfRule type="cellIs" dxfId="15" priority="155" operator="equal">
      <formula>$V$5</formula>
    </cfRule>
  </conditionalFormatting>
  <conditionalFormatting sqref="K111:K112">
    <cfRule type="colorScale" priority="156">
      <colorScale>
        <cfvo type="min"/>
        <cfvo type="percentile" val="50"/>
        <cfvo type="max"/>
        <color rgb="FFF8696B"/>
        <color rgb="FFFCFCFF"/>
        <color rgb="FF63BE7B"/>
      </colorScale>
    </cfRule>
  </conditionalFormatting>
  <conditionalFormatting sqref="L111:L112">
    <cfRule type="colorScale" priority="157">
      <colorScale>
        <cfvo type="min"/>
        <cfvo type="percentile" val="50"/>
        <cfvo type="max"/>
        <color rgb="FFF8696B"/>
        <color rgb="FFFCFCFF"/>
        <color rgb="FF63BE7B"/>
      </colorScale>
    </cfRule>
  </conditionalFormatting>
  <conditionalFormatting sqref="M111:M112">
    <cfRule type="colorScale" priority="158">
      <colorScale>
        <cfvo type="min"/>
        <cfvo type="percentile" val="50"/>
        <cfvo type="max"/>
        <color rgb="FFF8696B"/>
        <color rgb="FFFCFCFF"/>
        <color rgb="FF63BE7B"/>
      </colorScale>
    </cfRule>
  </conditionalFormatting>
  <conditionalFormatting sqref="N111:N112">
    <cfRule type="colorScale" priority="159">
      <colorScale>
        <cfvo type="min"/>
        <cfvo type="percentile" val="50"/>
        <cfvo type="max"/>
        <color rgb="FFF8696B"/>
        <color rgb="FFFCFCFF"/>
        <color rgb="FF63BE7B"/>
      </colorScale>
    </cfRule>
  </conditionalFormatting>
  <conditionalFormatting sqref="J111:J112">
    <cfRule type="colorScale" priority="160">
      <colorScale>
        <cfvo type="min"/>
        <cfvo type="percentile" val="50"/>
        <cfvo type="max"/>
        <color rgb="FFF8696B"/>
        <color rgb="FFFCFCFF"/>
        <color rgb="FF63BE7B"/>
      </colorScale>
    </cfRule>
  </conditionalFormatting>
  <conditionalFormatting sqref="K109:N110">
    <cfRule type="cellIs" dxfId="14" priority="147" operator="equal">
      <formula>$V$5</formula>
    </cfRule>
  </conditionalFormatting>
  <conditionalFormatting sqref="K109:K110">
    <cfRule type="colorScale" priority="148">
      <colorScale>
        <cfvo type="min"/>
        <cfvo type="percentile" val="50"/>
        <cfvo type="max"/>
        <color rgb="FFF8696B"/>
        <color rgb="FFFCFCFF"/>
        <color rgb="FF63BE7B"/>
      </colorScale>
    </cfRule>
  </conditionalFormatting>
  <conditionalFormatting sqref="L109:L110">
    <cfRule type="colorScale" priority="149">
      <colorScale>
        <cfvo type="min"/>
        <cfvo type="percentile" val="50"/>
        <cfvo type="max"/>
        <color rgb="FFF8696B"/>
        <color rgb="FFFCFCFF"/>
        <color rgb="FF63BE7B"/>
      </colorScale>
    </cfRule>
  </conditionalFormatting>
  <conditionalFormatting sqref="M109:M110">
    <cfRule type="colorScale" priority="150">
      <colorScale>
        <cfvo type="min"/>
        <cfvo type="percentile" val="50"/>
        <cfvo type="max"/>
        <color rgb="FFF8696B"/>
        <color rgb="FFFCFCFF"/>
        <color rgb="FF63BE7B"/>
      </colorScale>
    </cfRule>
  </conditionalFormatting>
  <conditionalFormatting sqref="N109:N110">
    <cfRule type="colorScale" priority="151">
      <colorScale>
        <cfvo type="min"/>
        <cfvo type="percentile" val="50"/>
        <cfvo type="max"/>
        <color rgb="FFF8696B"/>
        <color rgb="FFFCFCFF"/>
        <color rgb="FF63BE7B"/>
      </colorScale>
    </cfRule>
  </conditionalFormatting>
  <conditionalFormatting sqref="J109:J110">
    <cfRule type="colorScale" priority="152">
      <colorScale>
        <cfvo type="min"/>
        <cfvo type="percentile" val="50"/>
        <cfvo type="max"/>
        <color rgb="FFF8696B"/>
        <color rgb="FFFCFCFF"/>
        <color rgb="FF63BE7B"/>
      </colorScale>
    </cfRule>
  </conditionalFormatting>
  <conditionalFormatting sqref="K108:N108">
    <cfRule type="cellIs" dxfId="13" priority="139" operator="equal">
      <formula>$V$5</formula>
    </cfRule>
  </conditionalFormatting>
  <conditionalFormatting sqref="K106:N107">
    <cfRule type="cellIs" dxfId="12" priority="131" operator="equal">
      <formula>$V$5</formula>
    </cfRule>
  </conditionalFormatting>
  <conditionalFormatting sqref="K106:K107">
    <cfRule type="colorScale" priority="132">
      <colorScale>
        <cfvo type="min"/>
        <cfvo type="percentile" val="50"/>
        <cfvo type="max"/>
        <color rgb="FFF8696B"/>
        <color rgb="FFFCFCFF"/>
        <color rgb="FF63BE7B"/>
      </colorScale>
    </cfRule>
  </conditionalFormatting>
  <conditionalFormatting sqref="L106:L107">
    <cfRule type="colorScale" priority="133">
      <colorScale>
        <cfvo type="min"/>
        <cfvo type="percentile" val="50"/>
        <cfvo type="max"/>
        <color rgb="FFF8696B"/>
        <color rgb="FFFCFCFF"/>
        <color rgb="FF63BE7B"/>
      </colorScale>
    </cfRule>
  </conditionalFormatting>
  <conditionalFormatting sqref="M106:M107">
    <cfRule type="colorScale" priority="134">
      <colorScale>
        <cfvo type="min"/>
        <cfvo type="percentile" val="50"/>
        <cfvo type="max"/>
        <color rgb="FFF8696B"/>
        <color rgb="FFFCFCFF"/>
        <color rgb="FF63BE7B"/>
      </colorScale>
    </cfRule>
  </conditionalFormatting>
  <conditionalFormatting sqref="N106:N107">
    <cfRule type="colorScale" priority="135">
      <colorScale>
        <cfvo type="min"/>
        <cfvo type="percentile" val="50"/>
        <cfvo type="max"/>
        <color rgb="FFF8696B"/>
        <color rgb="FFFCFCFF"/>
        <color rgb="FF63BE7B"/>
      </colorScale>
    </cfRule>
  </conditionalFormatting>
  <conditionalFormatting sqref="J106:J107">
    <cfRule type="colorScale" priority="136">
      <colorScale>
        <cfvo type="min"/>
        <cfvo type="percentile" val="50"/>
        <cfvo type="max"/>
        <color rgb="FFF8696B"/>
        <color rgb="FFFCFCFF"/>
        <color rgb="FF63BE7B"/>
      </colorScale>
    </cfRule>
  </conditionalFormatting>
  <conditionalFormatting sqref="K104:N105">
    <cfRule type="cellIs" dxfId="11" priority="123" operator="equal">
      <formula>$V$5</formula>
    </cfRule>
  </conditionalFormatting>
  <conditionalFormatting sqref="K104:K105">
    <cfRule type="colorScale" priority="124">
      <colorScale>
        <cfvo type="min"/>
        <cfvo type="percentile" val="50"/>
        <cfvo type="max"/>
        <color rgb="FFF8696B"/>
        <color rgb="FFFCFCFF"/>
        <color rgb="FF63BE7B"/>
      </colorScale>
    </cfRule>
  </conditionalFormatting>
  <conditionalFormatting sqref="L104:L105">
    <cfRule type="colorScale" priority="125">
      <colorScale>
        <cfvo type="min"/>
        <cfvo type="percentile" val="50"/>
        <cfvo type="max"/>
        <color rgb="FFF8696B"/>
        <color rgb="FFFCFCFF"/>
        <color rgb="FF63BE7B"/>
      </colorScale>
    </cfRule>
  </conditionalFormatting>
  <conditionalFormatting sqref="M104:M105">
    <cfRule type="colorScale" priority="126">
      <colorScale>
        <cfvo type="min"/>
        <cfvo type="percentile" val="50"/>
        <cfvo type="max"/>
        <color rgb="FFF8696B"/>
        <color rgb="FFFCFCFF"/>
        <color rgb="FF63BE7B"/>
      </colorScale>
    </cfRule>
  </conditionalFormatting>
  <conditionalFormatting sqref="N104:N105">
    <cfRule type="colorScale" priority="127">
      <colorScale>
        <cfvo type="min"/>
        <cfvo type="percentile" val="50"/>
        <cfvo type="max"/>
        <color rgb="FFF8696B"/>
        <color rgb="FFFCFCFF"/>
        <color rgb="FF63BE7B"/>
      </colorScale>
    </cfRule>
  </conditionalFormatting>
  <conditionalFormatting sqref="J104:J105">
    <cfRule type="colorScale" priority="128">
      <colorScale>
        <cfvo type="min"/>
        <cfvo type="percentile" val="50"/>
        <cfvo type="max"/>
        <color rgb="FFF8696B"/>
        <color rgb="FFFCFCFF"/>
        <color rgb="FF63BE7B"/>
      </colorScale>
    </cfRule>
  </conditionalFormatting>
  <conditionalFormatting sqref="K102:N103">
    <cfRule type="cellIs" dxfId="10" priority="115" operator="equal">
      <formula>$V$5</formula>
    </cfRule>
  </conditionalFormatting>
  <conditionalFormatting sqref="K102:K103">
    <cfRule type="colorScale" priority="116">
      <colorScale>
        <cfvo type="min"/>
        <cfvo type="percentile" val="50"/>
        <cfvo type="max"/>
        <color rgb="FFF8696B"/>
        <color rgb="FFFCFCFF"/>
        <color rgb="FF63BE7B"/>
      </colorScale>
    </cfRule>
  </conditionalFormatting>
  <conditionalFormatting sqref="L102:L103">
    <cfRule type="colorScale" priority="117">
      <colorScale>
        <cfvo type="min"/>
        <cfvo type="percentile" val="50"/>
        <cfvo type="max"/>
        <color rgb="FFF8696B"/>
        <color rgb="FFFCFCFF"/>
        <color rgb="FF63BE7B"/>
      </colorScale>
    </cfRule>
  </conditionalFormatting>
  <conditionalFormatting sqref="M102:M103">
    <cfRule type="colorScale" priority="118">
      <colorScale>
        <cfvo type="min"/>
        <cfvo type="percentile" val="50"/>
        <cfvo type="max"/>
        <color rgb="FFF8696B"/>
        <color rgb="FFFCFCFF"/>
        <color rgb="FF63BE7B"/>
      </colorScale>
    </cfRule>
  </conditionalFormatting>
  <conditionalFormatting sqref="N102:N103">
    <cfRule type="colorScale" priority="119">
      <colorScale>
        <cfvo type="min"/>
        <cfvo type="percentile" val="50"/>
        <cfvo type="max"/>
        <color rgb="FFF8696B"/>
        <color rgb="FFFCFCFF"/>
        <color rgb="FF63BE7B"/>
      </colorScale>
    </cfRule>
  </conditionalFormatting>
  <conditionalFormatting sqref="J102:J103">
    <cfRule type="colorScale" priority="120">
      <colorScale>
        <cfvo type="min"/>
        <cfvo type="percentile" val="50"/>
        <cfvo type="max"/>
        <color rgb="FFF8696B"/>
        <color rgb="FFFCFCFF"/>
        <color rgb="FF63BE7B"/>
      </colorScale>
    </cfRule>
  </conditionalFormatting>
  <conditionalFormatting sqref="K149:N150">
    <cfRule type="cellIs" dxfId="9" priority="107" operator="equal">
      <formula>$V$5</formula>
    </cfRule>
  </conditionalFormatting>
  <conditionalFormatting sqref="K149:K150">
    <cfRule type="colorScale" priority="108">
      <colorScale>
        <cfvo type="min"/>
        <cfvo type="percentile" val="50"/>
        <cfvo type="max"/>
        <color rgb="FFF8696B"/>
        <color rgb="FFFCFCFF"/>
        <color rgb="FF63BE7B"/>
      </colorScale>
    </cfRule>
  </conditionalFormatting>
  <conditionalFormatting sqref="L149:L150">
    <cfRule type="colorScale" priority="109">
      <colorScale>
        <cfvo type="min"/>
        <cfvo type="percentile" val="50"/>
        <cfvo type="max"/>
        <color rgb="FFF8696B"/>
        <color rgb="FFFCFCFF"/>
        <color rgb="FF63BE7B"/>
      </colorScale>
    </cfRule>
  </conditionalFormatting>
  <conditionalFormatting sqref="M149:M150">
    <cfRule type="colorScale" priority="110">
      <colorScale>
        <cfvo type="min"/>
        <cfvo type="percentile" val="50"/>
        <cfvo type="max"/>
        <color rgb="FFF8696B"/>
        <color rgb="FFFCFCFF"/>
        <color rgb="FF63BE7B"/>
      </colorScale>
    </cfRule>
  </conditionalFormatting>
  <conditionalFormatting sqref="N149:N150">
    <cfRule type="colorScale" priority="111">
      <colorScale>
        <cfvo type="min"/>
        <cfvo type="percentile" val="50"/>
        <cfvo type="max"/>
        <color rgb="FFF8696B"/>
        <color rgb="FFFCFCFF"/>
        <color rgb="FF63BE7B"/>
      </colorScale>
    </cfRule>
  </conditionalFormatting>
  <conditionalFormatting sqref="J149:J150">
    <cfRule type="colorScale" priority="112">
      <colorScale>
        <cfvo type="min"/>
        <cfvo type="percentile" val="50"/>
        <cfvo type="max"/>
        <color rgb="FFF8696B"/>
        <color rgb="FFFCFCFF"/>
        <color rgb="FF63BE7B"/>
      </colorScale>
    </cfRule>
  </conditionalFormatting>
  <conditionalFormatting sqref="K147:N148">
    <cfRule type="cellIs" dxfId="8" priority="99" operator="equal">
      <formula>$V$5</formula>
    </cfRule>
  </conditionalFormatting>
  <conditionalFormatting sqref="K147:K148">
    <cfRule type="colorScale" priority="100">
      <colorScale>
        <cfvo type="min"/>
        <cfvo type="percentile" val="50"/>
        <cfvo type="max"/>
        <color rgb="FFF8696B"/>
        <color rgb="FFFCFCFF"/>
        <color rgb="FF63BE7B"/>
      </colorScale>
    </cfRule>
  </conditionalFormatting>
  <conditionalFormatting sqref="L147:L148">
    <cfRule type="colorScale" priority="101">
      <colorScale>
        <cfvo type="min"/>
        <cfvo type="percentile" val="50"/>
        <cfvo type="max"/>
        <color rgb="FFF8696B"/>
        <color rgb="FFFCFCFF"/>
        <color rgb="FF63BE7B"/>
      </colorScale>
    </cfRule>
  </conditionalFormatting>
  <conditionalFormatting sqref="M147:M148">
    <cfRule type="colorScale" priority="102">
      <colorScale>
        <cfvo type="min"/>
        <cfvo type="percentile" val="50"/>
        <cfvo type="max"/>
        <color rgb="FFF8696B"/>
        <color rgb="FFFCFCFF"/>
        <color rgb="FF63BE7B"/>
      </colorScale>
    </cfRule>
  </conditionalFormatting>
  <conditionalFormatting sqref="N147:N148">
    <cfRule type="colorScale" priority="103">
      <colorScale>
        <cfvo type="min"/>
        <cfvo type="percentile" val="50"/>
        <cfvo type="max"/>
        <color rgb="FFF8696B"/>
        <color rgb="FFFCFCFF"/>
        <color rgb="FF63BE7B"/>
      </colorScale>
    </cfRule>
  </conditionalFormatting>
  <conditionalFormatting sqref="J147:J148">
    <cfRule type="colorScale" priority="104">
      <colorScale>
        <cfvo type="min"/>
        <cfvo type="percentile" val="50"/>
        <cfvo type="max"/>
        <color rgb="FFF8696B"/>
        <color rgb="FFFCFCFF"/>
        <color rgb="FF63BE7B"/>
      </colorScale>
    </cfRule>
  </conditionalFormatting>
  <conditionalFormatting sqref="K145:N146">
    <cfRule type="cellIs" dxfId="7" priority="83" operator="equal">
      <formula>$V$5</formula>
    </cfRule>
  </conditionalFormatting>
  <conditionalFormatting sqref="K145:K146">
    <cfRule type="colorScale" priority="84">
      <colorScale>
        <cfvo type="min"/>
        <cfvo type="percentile" val="50"/>
        <cfvo type="max"/>
        <color rgb="FFF8696B"/>
        <color rgb="FFFCFCFF"/>
        <color rgb="FF63BE7B"/>
      </colorScale>
    </cfRule>
  </conditionalFormatting>
  <conditionalFormatting sqref="L145:L146">
    <cfRule type="colorScale" priority="85">
      <colorScale>
        <cfvo type="min"/>
        <cfvo type="percentile" val="50"/>
        <cfvo type="max"/>
        <color rgb="FFF8696B"/>
        <color rgb="FFFCFCFF"/>
        <color rgb="FF63BE7B"/>
      </colorScale>
    </cfRule>
  </conditionalFormatting>
  <conditionalFormatting sqref="M145:M146">
    <cfRule type="colorScale" priority="86">
      <colorScale>
        <cfvo type="min"/>
        <cfvo type="percentile" val="50"/>
        <cfvo type="max"/>
        <color rgb="FFF8696B"/>
        <color rgb="FFFCFCFF"/>
        <color rgb="FF63BE7B"/>
      </colorScale>
    </cfRule>
  </conditionalFormatting>
  <conditionalFormatting sqref="N145:N146">
    <cfRule type="colorScale" priority="87">
      <colorScale>
        <cfvo type="min"/>
        <cfvo type="percentile" val="50"/>
        <cfvo type="max"/>
        <color rgb="FFF8696B"/>
        <color rgb="FFFCFCFF"/>
        <color rgb="FF63BE7B"/>
      </colorScale>
    </cfRule>
  </conditionalFormatting>
  <conditionalFormatting sqref="J145:J146">
    <cfRule type="colorScale" priority="88">
      <colorScale>
        <cfvo type="min"/>
        <cfvo type="percentile" val="50"/>
        <cfvo type="max"/>
        <color rgb="FFF8696B"/>
        <color rgb="FFFCFCFF"/>
        <color rgb="FF63BE7B"/>
      </colorScale>
    </cfRule>
  </conditionalFormatting>
  <conditionalFormatting sqref="K143:N144">
    <cfRule type="cellIs" dxfId="6" priority="75" operator="equal">
      <formula>$V$5</formula>
    </cfRule>
  </conditionalFormatting>
  <conditionalFormatting sqref="K143:K144">
    <cfRule type="colorScale" priority="76">
      <colorScale>
        <cfvo type="min"/>
        <cfvo type="percentile" val="50"/>
        <cfvo type="max"/>
        <color rgb="FFF8696B"/>
        <color rgb="FFFCFCFF"/>
        <color rgb="FF63BE7B"/>
      </colorScale>
    </cfRule>
  </conditionalFormatting>
  <conditionalFormatting sqref="L143:L144">
    <cfRule type="colorScale" priority="77">
      <colorScale>
        <cfvo type="min"/>
        <cfvo type="percentile" val="50"/>
        <cfvo type="max"/>
        <color rgb="FFF8696B"/>
        <color rgb="FFFCFCFF"/>
        <color rgb="FF63BE7B"/>
      </colorScale>
    </cfRule>
  </conditionalFormatting>
  <conditionalFormatting sqref="M143:M144">
    <cfRule type="colorScale" priority="78">
      <colorScale>
        <cfvo type="min"/>
        <cfvo type="percentile" val="50"/>
        <cfvo type="max"/>
        <color rgb="FFF8696B"/>
        <color rgb="FFFCFCFF"/>
        <color rgb="FF63BE7B"/>
      </colorScale>
    </cfRule>
  </conditionalFormatting>
  <conditionalFormatting sqref="N143:N144">
    <cfRule type="colorScale" priority="79">
      <colorScale>
        <cfvo type="min"/>
        <cfvo type="percentile" val="50"/>
        <cfvo type="max"/>
        <color rgb="FFF8696B"/>
        <color rgb="FFFCFCFF"/>
        <color rgb="FF63BE7B"/>
      </colorScale>
    </cfRule>
  </conditionalFormatting>
  <conditionalFormatting sqref="J143:J144">
    <cfRule type="colorScale" priority="80">
      <colorScale>
        <cfvo type="min"/>
        <cfvo type="percentile" val="50"/>
        <cfvo type="max"/>
        <color rgb="FFF8696B"/>
        <color rgb="FFFCFCFF"/>
        <color rgb="FF63BE7B"/>
      </colorScale>
    </cfRule>
  </conditionalFormatting>
  <conditionalFormatting sqref="K140:N141">
    <cfRule type="cellIs" dxfId="5" priority="59" operator="equal">
      <formula>$V$5</formula>
    </cfRule>
  </conditionalFormatting>
  <conditionalFormatting sqref="K140:K141">
    <cfRule type="colorScale" priority="60">
      <colorScale>
        <cfvo type="min"/>
        <cfvo type="percentile" val="50"/>
        <cfvo type="max"/>
        <color rgb="FFF8696B"/>
        <color rgb="FFFCFCFF"/>
        <color rgb="FF63BE7B"/>
      </colorScale>
    </cfRule>
  </conditionalFormatting>
  <conditionalFormatting sqref="L140:L141">
    <cfRule type="colorScale" priority="61">
      <colorScale>
        <cfvo type="min"/>
        <cfvo type="percentile" val="50"/>
        <cfvo type="max"/>
        <color rgb="FFF8696B"/>
        <color rgb="FFFCFCFF"/>
        <color rgb="FF63BE7B"/>
      </colorScale>
    </cfRule>
  </conditionalFormatting>
  <conditionalFormatting sqref="M140:M141">
    <cfRule type="colorScale" priority="62">
      <colorScale>
        <cfvo type="min"/>
        <cfvo type="percentile" val="50"/>
        <cfvo type="max"/>
        <color rgb="FFF8696B"/>
        <color rgb="FFFCFCFF"/>
        <color rgb="FF63BE7B"/>
      </colorScale>
    </cfRule>
  </conditionalFormatting>
  <conditionalFormatting sqref="N140:N141">
    <cfRule type="colorScale" priority="63">
      <colorScale>
        <cfvo type="min"/>
        <cfvo type="percentile" val="50"/>
        <cfvo type="max"/>
        <color rgb="FFF8696B"/>
        <color rgb="FFFCFCFF"/>
        <color rgb="FF63BE7B"/>
      </colorScale>
    </cfRule>
  </conditionalFormatting>
  <conditionalFormatting sqref="J140:J141">
    <cfRule type="colorScale" priority="64">
      <colorScale>
        <cfvo type="min"/>
        <cfvo type="percentile" val="50"/>
        <cfvo type="max"/>
        <color rgb="FFF8696B"/>
        <color rgb="FFFCFCFF"/>
        <color rgb="FF63BE7B"/>
      </colorScale>
    </cfRule>
  </conditionalFormatting>
  <conditionalFormatting sqref="K138:N139">
    <cfRule type="cellIs" dxfId="4" priority="51" operator="equal">
      <formula>$V$5</formula>
    </cfRule>
  </conditionalFormatting>
  <conditionalFormatting sqref="K138:K139">
    <cfRule type="colorScale" priority="52">
      <colorScale>
        <cfvo type="min"/>
        <cfvo type="percentile" val="50"/>
        <cfvo type="max"/>
        <color rgb="FFF8696B"/>
        <color rgb="FFFCFCFF"/>
        <color rgb="FF63BE7B"/>
      </colorScale>
    </cfRule>
  </conditionalFormatting>
  <conditionalFormatting sqref="L138:L139">
    <cfRule type="colorScale" priority="53">
      <colorScale>
        <cfvo type="min"/>
        <cfvo type="percentile" val="50"/>
        <cfvo type="max"/>
        <color rgb="FFF8696B"/>
        <color rgb="FFFCFCFF"/>
        <color rgb="FF63BE7B"/>
      </colorScale>
    </cfRule>
  </conditionalFormatting>
  <conditionalFormatting sqref="M138:M139">
    <cfRule type="colorScale" priority="54">
      <colorScale>
        <cfvo type="min"/>
        <cfvo type="percentile" val="50"/>
        <cfvo type="max"/>
        <color rgb="FFF8696B"/>
        <color rgb="FFFCFCFF"/>
        <color rgb="FF63BE7B"/>
      </colorScale>
    </cfRule>
  </conditionalFormatting>
  <conditionalFormatting sqref="N138:N139">
    <cfRule type="colorScale" priority="55">
      <colorScale>
        <cfvo type="min"/>
        <cfvo type="percentile" val="50"/>
        <cfvo type="max"/>
        <color rgb="FFF8696B"/>
        <color rgb="FFFCFCFF"/>
        <color rgb="FF63BE7B"/>
      </colorScale>
    </cfRule>
  </conditionalFormatting>
  <conditionalFormatting sqref="J138:J139">
    <cfRule type="colorScale" priority="56">
      <colorScale>
        <cfvo type="min"/>
        <cfvo type="percentile" val="50"/>
        <cfvo type="max"/>
        <color rgb="FFF8696B"/>
        <color rgb="FFFCFCFF"/>
        <color rgb="FF63BE7B"/>
      </colorScale>
    </cfRule>
  </conditionalFormatting>
  <conditionalFormatting sqref="K136:N137">
    <cfRule type="cellIs" dxfId="3" priority="43" operator="equal">
      <formula>$V$5</formula>
    </cfRule>
  </conditionalFormatting>
  <conditionalFormatting sqref="K136:K137">
    <cfRule type="colorScale" priority="44">
      <colorScale>
        <cfvo type="min"/>
        <cfvo type="percentile" val="50"/>
        <cfvo type="max"/>
        <color rgb="FFF8696B"/>
        <color rgb="FFFCFCFF"/>
        <color rgb="FF63BE7B"/>
      </colorScale>
    </cfRule>
  </conditionalFormatting>
  <conditionalFormatting sqref="L136:L137">
    <cfRule type="colorScale" priority="45">
      <colorScale>
        <cfvo type="min"/>
        <cfvo type="percentile" val="50"/>
        <cfvo type="max"/>
        <color rgb="FFF8696B"/>
        <color rgb="FFFCFCFF"/>
        <color rgb="FF63BE7B"/>
      </colorScale>
    </cfRule>
  </conditionalFormatting>
  <conditionalFormatting sqref="M136:M137">
    <cfRule type="colorScale" priority="46">
      <colorScale>
        <cfvo type="min"/>
        <cfvo type="percentile" val="50"/>
        <cfvo type="max"/>
        <color rgb="FFF8696B"/>
        <color rgb="FFFCFCFF"/>
        <color rgb="FF63BE7B"/>
      </colorScale>
    </cfRule>
  </conditionalFormatting>
  <conditionalFormatting sqref="N136:N137">
    <cfRule type="colorScale" priority="47">
      <colorScale>
        <cfvo type="min"/>
        <cfvo type="percentile" val="50"/>
        <cfvo type="max"/>
        <color rgb="FFF8696B"/>
        <color rgb="FFFCFCFF"/>
        <color rgb="FF63BE7B"/>
      </colorScale>
    </cfRule>
  </conditionalFormatting>
  <conditionalFormatting sqref="J136:J137">
    <cfRule type="colorScale" priority="48">
      <colorScale>
        <cfvo type="min"/>
        <cfvo type="percentile" val="50"/>
        <cfvo type="max"/>
        <color rgb="FFF8696B"/>
        <color rgb="FFFCFCFF"/>
        <color rgb="FF63BE7B"/>
      </colorScale>
    </cfRule>
  </conditionalFormatting>
  <conditionalFormatting sqref="K134:N135">
    <cfRule type="cellIs" dxfId="2" priority="35" operator="equal">
      <formula>$V$5</formula>
    </cfRule>
  </conditionalFormatting>
  <conditionalFormatting sqref="K134:K135">
    <cfRule type="colorScale" priority="36">
      <colorScale>
        <cfvo type="min"/>
        <cfvo type="percentile" val="50"/>
        <cfvo type="max"/>
        <color rgb="FFF8696B"/>
        <color rgb="FFFCFCFF"/>
        <color rgb="FF63BE7B"/>
      </colorScale>
    </cfRule>
  </conditionalFormatting>
  <conditionalFormatting sqref="L134:L135">
    <cfRule type="colorScale" priority="37">
      <colorScale>
        <cfvo type="min"/>
        <cfvo type="percentile" val="50"/>
        <cfvo type="max"/>
        <color rgb="FFF8696B"/>
        <color rgb="FFFCFCFF"/>
        <color rgb="FF63BE7B"/>
      </colorScale>
    </cfRule>
  </conditionalFormatting>
  <conditionalFormatting sqref="M134:M135">
    <cfRule type="colorScale" priority="38">
      <colorScale>
        <cfvo type="min"/>
        <cfvo type="percentile" val="50"/>
        <cfvo type="max"/>
        <color rgb="FFF8696B"/>
        <color rgb="FFFCFCFF"/>
        <color rgb="FF63BE7B"/>
      </colorScale>
    </cfRule>
  </conditionalFormatting>
  <conditionalFormatting sqref="N134:N135">
    <cfRule type="colorScale" priority="39">
      <colorScale>
        <cfvo type="min"/>
        <cfvo type="percentile" val="50"/>
        <cfvo type="max"/>
        <color rgb="FFF8696B"/>
        <color rgb="FFFCFCFF"/>
        <color rgb="FF63BE7B"/>
      </colorScale>
    </cfRule>
  </conditionalFormatting>
  <conditionalFormatting sqref="J134:J135">
    <cfRule type="colorScale" priority="40">
      <colorScale>
        <cfvo type="min"/>
        <cfvo type="percentile" val="50"/>
        <cfvo type="max"/>
        <color rgb="FFF8696B"/>
        <color rgb="FFFCFCFF"/>
        <color rgb="FF63BE7B"/>
      </colorScale>
    </cfRule>
  </conditionalFormatting>
  <conditionalFormatting sqref="K132:N133">
    <cfRule type="cellIs" dxfId="1" priority="27" operator="equal">
      <formula>$V$5</formula>
    </cfRule>
  </conditionalFormatting>
  <conditionalFormatting sqref="K132:K133">
    <cfRule type="colorScale" priority="28">
      <colorScale>
        <cfvo type="min"/>
        <cfvo type="percentile" val="50"/>
        <cfvo type="max"/>
        <color rgb="FFF8696B"/>
        <color rgb="FFFCFCFF"/>
        <color rgb="FF63BE7B"/>
      </colorScale>
    </cfRule>
  </conditionalFormatting>
  <conditionalFormatting sqref="L132:L133">
    <cfRule type="colorScale" priority="29">
      <colorScale>
        <cfvo type="min"/>
        <cfvo type="percentile" val="50"/>
        <cfvo type="max"/>
        <color rgb="FFF8696B"/>
        <color rgb="FFFCFCFF"/>
        <color rgb="FF63BE7B"/>
      </colorScale>
    </cfRule>
  </conditionalFormatting>
  <conditionalFormatting sqref="M132:M133">
    <cfRule type="colorScale" priority="30">
      <colorScale>
        <cfvo type="min"/>
        <cfvo type="percentile" val="50"/>
        <cfvo type="max"/>
        <color rgb="FFF8696B"/>
        <color rgb="FFFCFCFF"/>
        <color rgb="FF63BE7B"/>
      </colorScale>
    </cfRule>
  </conditionalFormatting>
  <conditionalFormatting sqref="N132:N133">
    <cfRule type="colorScale" priority="31">
      <colorScale>
        <cfvo type="min"/>
        <cfvo type="percentile" val="50"/>
        <cfvo type="max"/>
        <color rgb="FFF8696B"/>
        <color rgb="FFFCFCFF"/>
        <color rgb="FF63BE7B"/>
      </colorScale>
    </cfRule>
  </conditionalFormatting>
  <conditionalFormatting sqref="J132:J133">
    <cfRule type="colorScale" priority="32">
      <colorScale>
        <cfvo type="min"/>
        <cfvo type="percentile" val="50"/>
        <cfvo type="max"/>
        <color rgb="FFF8696B"/>
        <color rgb="FFFCFCFF"/>
        <color rgb="FF63BE7B"/>
      </colorScale>
    </cfRule>
  </conditionalFormatting>
  <conditionalFormatting sqref="K130:N131">
    <cfRule type="cellIs" dxfId="0" priority="19" operator="equal">
      <formula>$V$5</formula>
    </cfRule>
  </conditionalFormatting>
  <conditionalFormatting sqref="K130:K131">
    <cfRule type="colorScale" priority="20">
      <colorScale>
        <cfvo type="min"/>
        <cfvo type="percentile" val="50"/>
        <cfvo type="max"/>
        <color rgb="FFF8696B"/>
        <color rgb="FFFCFCFF"/>
        <color rgb="FF63BE7B"/>
      </colorScale>
    </cfRule>
  </conditionalFormatting>
  <conditionalFormatting sqref="L130:L131">
    <cfRule type="colorScale" priority="21">
      <colorScale>
        <cfvo type="min"/>
        <cfvo type="percentile" val="50"/>
        <cfvo type="max"/>
        <color rgb="FFF8696B"/>
        <color rgb="FFFCFCFF"/>
        <color rgb="FF63BE7B"/>
      </colorScale>
    </cfRule>
  </conditionalFormatting>
  <conditionalFormatting sqref="M130:M131">
    <cfRule type="colorScale" priority="22">
      <colorScale>
        <cfvo type="min"/>
        <cfvo type="percentile" val="50"/>
        <cfvo type="max"/>
        <color rgb="FFF8696B"/>
        <color rgb="FFFCFCFF"/>
        <color rgb="FF63BE7B"/>
      </colorScale>
    </cfRule>
  </conditionalFormatting>
  <conditionalFormatting sqref="N130:N131">
    <cfRule type="colorScale" priority="23">
      <colorScale>
        <cfvo type="min"/>
        <cfvo type="percentile" val="50"/>
        <cfvo type="max"/>
        <color rgb="FFF8696B"/>
        <color rgb="FFFCFCFF"/>
        <color rgb="FF63BE7B"/>
      </colorScale>
    </cfRule>
  </conditionalFormatting>
  <conditionalFormatting sqref="J130:J131">
    <cfRule type="colorScale" priority="24">
      <colorScale>
        <cfvo type="min"/>
        <cfvo type="percentile" val="50"/>
        <cfvo type="max"/>
        <color rgb="FFF8696B"/>
        <color rgb="FFFCFCFF"/>
        <color rgb="FF63BE7B"/>
      </colorScale>
    </cfRule>
  </conditionalFormatting>
  <conditionalFormatting sqref="K108">
    <cfRule type="colorScale" priority="384">
      <colorScale>
        <cfvo type="min"/>
        <cfvo type="percentile" val="50"/>
        <cfvo type="max"/>
        <color rgb="FFF8696B"/>
        <color rgb="FFFCFCFF"/>
        <color rgb="FF63BE7B"/>
      </colorScale>
    </cfRule>
  </conditionalFormatting>
  <conditionalFormatting sqref="L108">
    <cfRule type="colorScale" priority="385">
      <colorScale>
        <cfvo type="min"/>
        <cfvo type="percentile" val="50"/>
        <cfvo type="max"/>
        <color rgb="FFF8696B"/>
        <color rgb="FFFCFCFF"/>
        <color rgb="FF63BE7B"/>
      </colorScale>
    </cfRule>
  </conditionalFormatting>
  <conditionalFormatting sqref="M108">
    <cfRule type="colorScale" priority="386">
      <colorScale>
        <cfvo type="min"/>
        <cfvo type="percentile" val="50"/>
        <cfvo type="max"/>
        <color rgb="FFF8696B"/>
        <color rgb="FFFCFCFF"/>
        <color rgb="FF63BE7B"/>
      </colorScale>
    </cfRule>
  </conditionalFormatting>
  <conditionalFormatting sqref="N108">
    <cfRule type="colorScale" priority="387">
      <colorScale>
        <cfvo type="min"/>
        <cfvo type="percentile" val="50"/>
        <cfvo type="max"/>
        <color rgb="FFF8696B"/>
        <color rgb="FFFCFCFF"/>
        <color rgb="FF63BE7B"/>
      </colorScale>
    </cfRule>
  </conditionalFormatting>
  <conditionalFormatting sqref="J108">
    <cfRule type="colorScale" priority="388">
      <colorScale>
        <cfvo type="min"/>
        <cfvo type="percentile" val="50"/>
        <cfvo type="max"/>
        <color rgb="FFF8696B"/>
        <color rgb="FFFCFCFF"/>
        <color rgb="FF63BE7B"/>
      </colorScale>
    </cfRule>
  </conditionalFormatting>
  <conditionalFormatting sqref="K129">
    <cfRule type="colorScale" priority="398">
      <colorScale>
        <cfvo type="min"/>
        <cfvo type="percentile" val="50"/>
        <cfvo type="max"/>
        <color rgb="FFF8696B"/>
        <color rgb="FFFCFCFF"/>
        <color rgb="FF63BE7B"/>
      </colorScale>
    </cfRule>
  </conditionalFormatting>
  <conditionalFormatting sqref="L129">
    <cfRule type="colorScale" priority="399">
      <colorScale>
        <cfvo type="min"/>
        <cfvo type="percentile" val="50"/>
        <cfvo type="max"/>
        <color rgb="FFF8696B"/>
        <color rgb="FFFCFCFF"/>
        <color rgb="FF63BE7B"/>
      </colorScale>
    </cfRule>
  </conditionalFormatting>
  <conditionalFormatting sqref="M129">
    <cfRule type="colorScale" priority="400">
      <colorScale>
        <cfvo type="min"/>
        <cfvo type="percentile" val="50"/>
        <cfvo type="max"/>
        <color rgb="FFF8696B"/>
        <color rgb="FFFCFCFF"/>
        <color rgb="FF63BE7B"/>
      </colorScale>
    </cfRule>
  </conditionalFormatting>
  <conditionalFormatting sqref="N129">
    <cfRule type="colorScale" priority="401">
      <colorScale>
        <cfvo type="min"/>
        <cfvo type="percentile" val="50"/>
        <cfvo type="max"/>
        <color rgb="FFF8696B"/>
        <color rgb="FFFCFCFF"/>
        <color rgb="FF63BE7B"/>
      </colorScale>
    </cfRule>
  </conditionalFormatting>
  <conditionalFormatting sqref="J129">
    <cfRule type="colorScale" priority="402">
      <colorScale>
        <cfvo type="min"/>
        <cfvo type="percentile" val="50"/>
        <cfvo type="max"/>
        <color rgb="FFF8696B"/>
        <color rgb="FFFCFCFF"/>
        <color rgb="FF63BE7B"/>
      </colorScale>
    </cfRule>
  </conditionalFormatting>
  <conditionalFormatting sqref="K142">
    <cfRule type="colorScale" priority="412">
      <colorScale>
        <cfvo type="min"/>
        <cfvo type="percentile" val="50"/>
        <cfvo type="max"/>
        <color rgb="FFF8696B"/>
        <color rgb="FFFCFCFF"/>
        <color rgb="FF63BE7B"/>
      </colorScale>
    </cfRule>
  </conditionalFormatting>
  <conditionalFormatting sqref="L142">
    <cfRule type="colorScale" priority="413">
      <colorScale>
        <cfvo type="min"/>
        <cfvo type="percentile" val="50"/>
        <cfvo type="max"/>
        <color rgb="FFF8696B"/>
        <color rgb="FFFCFCFF"/>
        <color rgb="FF63BE7B"/>
      </colorScale>
    </cfRule>
  </conditionalFormatting>
  <conditionalFormatting sqref="M142">
    <cfRule type="colorScale" priority="414">
      <colorScale>
        <cfvo type="min"/>
        <cfvo type="percentile" val="50"/>
        <cfvo type="max"/>
        <color rgb="FFF8696B"/>
        <color rgb="FFFCFCFF"/>
        <color rgb="FF63BE7B"/>
      </colorScale>
    </cfRule>
  </conditionalFormatting>
  <conditionalFormatting sqref="N142">
    <cfRule type="colorScale" priority="415">
      <colorScale>
        <cfvo type="min"/>
        <cfvo type="percentile" val="50"/>
        <cfvo type="max"/>
        <color rgb="FFF8696B"/>
        <color rgb="FFFCFCFF"/>
        <color rgb="FF63BE7B"/>
      </colorScale>
    </cfRule>
  </conditionalFormatting>
  <conditionalFormatting sqref="J142">
    <cfRule type="colorScale" priority="416">
      <colorScale>
        <cfvo type="min"/>
        <cfvo type="percentile" val="50"/>
        <cfvo type="max"/>
        <color rgb="FFF8696B"/>
        <color rgb="FFFCFCFF"/>
        <color rgb="FF63BE7B"/>
      </colorScale>
    </cfRule>
  </conditionalFormatting>
  <conditionalFormatting sqref="K5:K101 K153">
    <cfRule type="colorScale" priority="426">
      <colorScale>
        <cfvo type="min"/>
        <cfvo type="percentile" val="50"/>
        <cfvo type="max"/>
        <color rgb="FFF8696B"/>
        <color rgb="FFFCFCFF"/>
        <color rgb="FF63BE7B"/>
      </colorScale>
    </cfRule>
  </conditionalFormatting>
  <conditionalFormatting sqref="L5:L101 L153">
    <cfRule type="colorScale" priority="428">
      <colorScale>
        <cfvo type="min"/>
        <cfvo type="percentile" val="50"/>
        <cfvo type="max"/>
        <color rgb="FFF8696B"/>
        <color rgb="FFFCFCFF"/>
        <color rgb="FF63BE7B"/>
      </colorScale>
    </cfRule>
  </conditionalFormatting>
  <conditionalFormatting sqref="M5:M101 M153">
    <cfRule type="colorScale" priority="430">
      <colorScale>
        <cfvo type="min"/>
        <cfvo type="percentile" val="50"/>
        <cfvo type="max"/>
        <color rgb="FFF8696B"/>
        <color rgb="FFFCFCFF"/>
        <color rgb="FF63BE7B"/>
      </colorScale>
    </cfRule>
  </conditionalFormatting>
  <conditionalFormatting sqref="N5:N101 N153">
    <cfRule type="colorScale" priority="432">
      <colorScale>
        <cfvo type="min"/>
        <cfvo type="percentile" val="50"/>
        <cfvo type="max"/>
        <color rgb="FFF8696B"/>
        <color rgb="FFFCFCFF"/>
        <color rgb="FF63BE7B"/>
      </colorScale>
    </cfRule>
  </conditionalFormatting>
  <conditionalFormatting sqref="J5:J101 J153">
    <cfRule type="colorScale" priority="434">
      <colorScale>
        <cfvo type="min"/>
        <cfvo type="percentile" val="50"/>
        <cfvo type="max"/>
        <color rgb="FFF8696B"/>
        <color rgb="FFFCFCFF"/>
        <color rgb="FF63BE7B"/>
      </colorScale>
    </cfRule>
  </conditionalFormatting>
  <conditionalFormatting sqref="O5:O153">
    <cfRule type="colorScale" priority="436">
      <colorScale>
        <cfvo type="min"/>
        <cfvo type="percentile" val="50"/>
        <cfvo type="max"/>
        <color rgb="FFF8696B"/>
        <color rgb="FFFCFCFF"/>
        <color rgb="FF63BE7B"/>
      </colorScale>
    </cfRule>
  </conditionalFormatting>
  <pageMargins left="0.7" right="0.7" top="0.75" bottom="0.75" header="0.3" footer="0.3"/>
  <pageSetup scale="43" fitToHeight="0" orientation="landscape"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pane ySplit="2" topLeftCell="A3" activePane="bottomLeft" state="frozen"/>
      <selection pane="bottomLeft" activeCell="A4" sqref="A4"/>
    </sheetView>
  </sheetViews>
  <sheetFormatPr baseColWidth="10" defaultRowHeight="15.75" x14ac:dyDescent="0.25"/>
  <cols>
    <col min="1" max="1" width="56.42578125" style="12" customWidth="1"/>
    <col min="2" max="2" width="57.42578125" style="9" customWidth="1"/>
    <col min="3" max="3" width="12.85546875" style="1" bestFit="1" customWidth="1"/>
    <col min="4" max="6" width="10.85546875" style="1"/>
  </cols>
  <sheetData>
    <row r="1" spans="1:6" ht="94.5" customHeight="1" x14ac:dyDescent="0.25">
      <c r="A1" s="232" t="s">
        <v>332</v>
      </c>
      <c r="B1" s="232"/>
    </row>
    <row r="2" spans="1:6" s="4" customFormat="1" ht="27.75" customHeight="1" x14ac:dyDescent="0.25">
      <c r="A2" s="230" t="s">
        <v>14</v>
      </c>
      <c r="B2" s="230"/>
      <c r="C2" s="2"/>
      <c r="D2" s="2"/>
      <c r="E2" s="2"/>
      <c r="F2" s="2"/>
    </row>
    <row r="3" spans="1:6" s="4" customFormat="1" ht="16.5" customHeight="1" x14ac:dyDescent="0.25">
      <c r="A3" s="231" t="s">
        <v>87</v>
      </c>
      <c r="B3" s="231"/>
      <c r="C3" s="2"/>
      <c r="D3" s="2"/>
      <c r="E3" s="2"/>
      <c r="F3" s="2"/>
    </row>
    <row r="4" spans="1:6" s="5" customFormat="1" ht="34.5" customHeight="1" x14ac:dyDescent="0.2">
      <c r="A4" s="29">
        <f>Evaluacion!AE154</f>
        <v>2000</v>
      </c>
      <c r="B4" s="30">
        <f>Referentes!C17</f>
        <v>0</v>
      </c>
      <c r="C4" s="3"/>
      <c r="D4" s="3"/>
      <c r="E4" s="3"/>
      <c r="F4" s="3"/>
    </row>
    <row r="5" spans="1:6" s="5" customFormat="1" ht="34.5" customHeight="1" x14ac:dyDescent="0.2">
      <c r="A5" s="44" t="s">
        <v>88</v>
      </c>
      <c r="B5" s="45" t="s">
        <v>60</v>
      </c>
      <c r="C5" s="3"/>
      <c r="D5" s="3"/>
      <c r="E5" s="3"/>
      <c r="F5" s="3"/>
    </row>
    <row r="6" spans="1:6" s="5" customFormat="1" ht="19.5" customHeight="1" x14ac:dyDescent="0.2">
      <c r="A6" s="228" t="s">
        <v>89</v>
      </c>
      <c r="B6" s="229"/>
      <c r="C6" s="3"/>
      <c r="D6" s="3"/>
      <c r="E6" s="3"/>
      <c r="F6" s="3"/>
    </row>
    <row r="7" spans="1:6" ht="35.25" customHeight="1" x14ac:dyDescent="0.25">
      <c r="A7" s="227"/>
      <c r="B7" s="227"/>
    </row>
    <row r="8" spans="1:6" ht="15.75" customHeight="1" x14ac:dyDescent="0.25"/>
  </sheetData>
  <mergeCells count="5">
    <mergeCell ref="A7:B7"/>
    <mergeCell ref="A6:B6"/>
    <mergeCell ref="A2:B2"/>
    <mergeCell ref="A3:B3"/>
    <mergeCell ref="A1:B1"/>
  </mergeCells>
  <printOptions horizontalCentered="1" verticalCentered="1"/>
  <pageMargins left="0.70866141732283472" right="0.70866141732283472" top="0.74803149606299213" bottom="0.74803149606299213" header="0.31496062992125984" footer="0.31496062992125984"/>
  <pageSetup scale="79" fitToHeight="0" orientation="portrait"/>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8"/>
  <sheetViews>
    <sheetView topLeftCell="A13" zoomScaleNormal="100" zoomScalePageLayoutView="150" workbookViewId="0">
      <selection activeCell="C20" sqref="C20"/>
    </sheetView>
  </sheetViews>
  <sheetFormatPr baseColWidth="10" defaultRowHeight="15" x14ac:dyDescent="0.25"/>
  <cols>
    <col min="1" max="1" width="18.85546875" customWidth="1"/>
    <col min="2" max="2" width="31.42578125" customWidth="1"/>
    <col min="3" max="3" width="15.42578125" customWidth="1"/>
    <col min="4" max="4" width="16.7109375" customWidth="1"/>
    <col min="5" max="5" width="17.28515625" customWidth="1"/>
  </cols>
  <sheetData>
    <row r="2" spans="1:11" ht="30.75" x14ac:dyDescent="0.25">
      <c r="A2" s="233"/>
      <c r="B2" s="234"/>
      <c r="C2" s="234"/>
      <c r="D2" s="234"/>
      <c r="E2" s="234"/>
      <c r="F2" s="21"/>
      <c r="G2" s="21"/>
      <c r="H2" s="21"/>
      <c r="I2" s="21"/>
      <c r="J2" s="21"/>
      <c r="K2" s="21"/>
    </row>
    <row r="3" spans="1:11" ht="18.75" x14ac:dyDescent="0.25">
      <c r="A3" s="235" t="s">
        <v>324</v>
      </c>
      <c r="B3" s="235"/>
      <c r="C3" s="235"/>
      <c r="D3" s="235"/>
      <c r="E3" s="235"/>
    </row>
    <row r="4" spans="1:11" ht="15.75" thickBot="1" x14ac:dyDescent="0.3"/>
    <row r="5" spans="1:11" ht="24.75" thickBot="1" x14ac:dyDescent="0.3">
      <c r="A5" s="49" t="s">
        <v>325</v>
      </c>
      <c r="B5" s="49" t="s">
        <v>326</v>
      </c>
      <c r="C5" s="49" t="s">
        <v>327</v>
      </c>
      <c r="D5" s="49" t="s">
        <v>328</v>
      </c>
      <c r="E5" s="49" t="s">
        <v>329</v>
      </c>
    </row>
    <row r="6" spans="1:11" ht="15.75" thickBot="1" x14ac:dyDescent="0.3">
      <c r="A6" s="236">
        <f>'Solicitud de Adhesión'!C7</f>
        <v>0</v>
      </c>
      <c r="B6" s="55" t="s">
        <v>330</v>
      </c>
      <c r="C6" s="56">
        <v>345</v>
      </c>
      <c r="D6" s="50">
        <f>Evaluacion!AE5</f>
        <v>345</v>
      </c>
      <c r="E6" s="51">
        <f>D6/C6</f>
        <v>1</v>
      </c>
      <c r="F6" s="64"/>
      <c r="G6" s="65"/>
    </row>
    <row r="7" spans="1:11" ht="15.75" thickBot="1" x14ac:dyDescent="0.3">
      <c r="A7" s="237"/>
      <c r="B7" s="57" t="s">
        <v>331</v>
      </c>
      <c r="C7" s="58">
        <v>130</v>
      </c>
      <c r="D7" s="52">
        <f>Evaluacion!AE43</f>
        <v>130</v>
      </c>
      <c r="E7" s="63">
        <f t="shared" ref="E7:E17" si="0">D7/C7</f>
        <v>1</v>
      </c>
      <c r="F7" s="64"/>
      <c r="G7" s="65"/>
    </row>
    <row r="8" spans="1:11" ht="15.75" thickBot="1" x14ac:dyDescent="0.3">
      <c r="A8" s="237"/>
      <c r="B8" s="55" t="s">
        <v>29</v>
      </c>
      <c r="C8" s="56">
        <v>350</v>
      </c>
      <c r="D8" s="50">
        <f>Evaluacion!AE60</f>
        <v>350</v>
      </c>
      <c r="E8" s="51">
        <f t="shared" si="0"/>
        <v>1</v>
      </c>
      <c r="F8" s="64"/>
      <c r="G8" s="65"/>
    </row>
    <row r="9" spans="1:11" ht="15.75" thickBot="1" x14ac:dyDescent="0.3">
      <c r="A9" s="237"/>
      <c r="B9" s="57" t="s">
        <v>35</v>
      </c>
      <c r="C9" s="58">
        <v>30</v>
      </c>
      <c r="D9" s="52">
        <f>Evaluacion!AE89</f>
        <v>30</v>
      </c>
      <c r="E9" s="63">
        <f t="shared" si="0"/>
        <v>1</v>
      </c>
      <c r="F9" s="64"/>
      <c r="G9" s="65"/>
    </row>
    <row r="10" spans="1:11" ht="15.75" thickBot="1" x14ac:dyDescent="0.3">
      <c r="A10" s="237"/>
      <c r="B10" s="55" t="s">
        <v>37</v>
      </c>
      <c r="C10" s="56">
        <v>175</v>
      </c>
      <c r="D10" s="50">
        <f>Evaluacion!AE91</f>
        <v>175</v>
      </c>
      <c r="E10" s="51">
        <f t="shared" si="0"/>
        <v>1</v>
      </c>
      <c r="F10" s="64"/>
      <c r="G10" s="65"/>
    </row>
    <row r="11" spans="1:11" ht="15.75" thickBot="1" x14ac:dyDescent="0.3">
      <c r="A11" s="237"/>
      <c r="B11" s="57" t="s">
        <v>40</v>
      </c>
      <c r="C11" s="58">
        <v>215</v>
      </c>
      <c r="D11" s="52">
        <f>Evaluacion!AE102</f>
        <v>215</v>
      </c>
      <c r="E11" s="63">
        <f t="shared" si="0"/>
        <v>1</v>
      </c>
      <c r="F11" s="64"/>
      <c r="G11" s="65"/>
    </row>
    <row r="12" spans="1:11" ht="15.75" thickBot="1" x14ac:dyDescent="0.3">
      <c r="A12" s="237"/>
      <c r="B12" s="55" t="s">
        <v>44</v>
      </c>
      <c r="C12" s="56">
        <v>200</v>
      </c>
      <c r="D12" s="50">
        <f>Evaluacion!AE112</f>
        <v>200</v>
      </c>
      <c r="E12" s="51">
        <f t="shared" si="0"/>
        <v>1</v>
      </c>
      <c r="F12" s="64"/>
      <c r="G12" s="65"/>
    </row>
    <row r="13" spans="1:11" ht="15.75" thickBot="1" x14ac:dyDescent="0.3">
      <c r="A13" s="237"/>
      <c r="B13" s="57" t="s">
        <v>47</v>
      </c>
      <c r="C13" s="58">
        <v>80</v>
      </c>
      <c r="D13" s="52">
        <f>Evaluacion!AE122</f>
        <v>80</v>
      </c>
      <c r="E13" s="63">
        <f t="shared" si="0"/>
        <v>1</v>
      </c>
      <c r="F13" s="64"/>
      <c r="G13" s="65"/>
    </row>
    <row r="14" spans="1:11" ht="15.75" thickBot="1" x14ac:dyDescent="0.3">
      <c r="A14" s="237"/>
      <c r="B14" s="55" t="s">
        <v>49</v>
      </c>
      <c r="C14" s="56">
        <v>60</v>
      </c>
      <c r="D14" s="50">
        <f>Evaluacion!AE128</f>
        <v>60</v>
      </c>
      <c r="E14" s="51">
        <f t="shared" si="0"/>
        <v>1</v>
      </c>
      <c r="F14" s="64"/>
      <c r="G14" s="65"/>
    </row>
    <row r="15" spans="1:11" ht="15.75" thickBot="1" x14ac:dyDescent="0.3">
      <c r="A15" s="237"/>
      <c r="B15" s="57" t="s">
        <v>50</v>
      </c>
      <c r="C15" s="58">
        <v>165</v>
      </c>
      <c r="D15" s="53">
        <f>Evaluacion!AE131</f>
        <v>165</v>
      </c>
      <c r="E15" s="63">
        <f t="shared" si="0"/>
        <v>1</v>
      </c>
      <c r="F15" s="64"/>
      <c r="G15" s="65"/>
    </row>
    <row r="16" spans="1:11" ht="15.75" thickBot="1" x14ac:dyDescent="0.3">
      <c r="A16" s="237"/>
      <c r="B16" s="55" t="s">
        <v>51</v>
      </c>
      <c r="C16" s="56">
        <v>70</v>
      </c>
      <c r="D16" s="50">
        <f>Evaluacion!AE143</f>
        <v>70</v>
      </c>
      <c r="E16" s="51">
        <f t="shared" si="0"/>
        <v>1</v>
      </c>
      <c r="F16" s="64"/>
      <c r="G16" s="65"/>
    </row>
    <row r="17" spans="1:7" ht="15.75" thickBot="1" x14ac:dyDescent="0.3">
      <c r="A17" s="238"/>
      <c r="B17" s="57" t="s">
        <v>54</v>
      </c>
      <c r="C17" s="58">
        <v>180</v>
      </c>
      <c r="D17" s="52">
        <f>Evaluacion!AE149</f>
        <v>180</v>
      </c>
      <c r="E17" s="63">
        <f t="shared" si="0"/>
        <v>1</v>
      </c>
      <c r="F17" s="64"/>
      <c r="G17" s="65"/>
    </row>
    <row r="18" spans="1:7" x14ac:dyDescent="0.25">
      <c r="F18" s="65"/>
      <c r="G18" s="65"/>
    </row>
  </sheetData>
  <mergeCells count="3">
    <mergeCell ref="A2:E2"/>
    <mergeCell ref="A3:E3"/>
    <mergeCell ref="A6:A17"/>
  </mergeCells>
  <pageMargins left="0.7" right="0.7" top="0.75" bottom="0.75" header="0.3" footer="0.3"/>
  <pageSetup orientation="portrait" r:id="rId1"/>
  <drawing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44"/>
  <sheetViews>
    <sheetView workbookViewId="0">
      <selection activeCell="G10" sqref="G10"/>
    </sheetView>
  </sheetViews>
  <sheetFormatPr baseColWidth="10" defaultRowHeight="15" x14ac:dyDescent="0.25"/>
  <cols>
    <col min="2" max="2" width="34.5703125" customWidth="1"/>
    <col min="3" max="3" width="22.5703125" customWidth="1"/>
    <col min="4" max="4" width="26.140625" customWidth="1"/>
  </cols>
  <sheetData>
    <row r="2" spans="2:4" ht="19.5" thickBot="1" x14ac:dyDescent="0.35">
      <c r="B2" s="254" t="s">
        <v>440</v>
      </c>
      <c r="C2" s="254"/>
      <c r="D2" s="254"/>
    </row>
    <row r="3" spans="2:4" ht="15.75" thickBot="1" x14ac:dyDescent="0.3">
      <c r="B3" s="255"/>
      <c r="C3" s="255"/>
      <c r="D3" s="255"/>
    </row>
    <row r="4" spans="2:4" ht="15.75" thickBot="1" x14ac:dyDescent="0.3">
      <c r="B4" s="256" t="s">
        <v>441</v>
      </c>
      <c r="C4" s="257" t="s">
        <v>442</v>
      </c>
      <c r="D4" s="258" t="s">
        <v>443</v>
      </c>
    </row>
    <row r="5" spans="2:4" ht="15.75" thickBot="1" x14ac:dyDescent="0.3">
      <c r="B5" s="259" t="s">
        <v>330</v>
      </c>
      <c r="C5" s="280">
        <v>0.17100000000000001</v>
      </c>
      <c r="D5" s="283">
        <v>345</v>
      </c>
    </row>
    <row r="6" spans="2:4" ht="15.75" thickBot="1" x14ac:dyDescent="0.3">
      <c r="B6" s="260" t="s">
        <v>444</v>
      </c>
      <c r="C6" s="278">
        <v>6.5000000000000002E-2</v>
      </c>
      <c r="D6" s="284">
        <v>130</v>
      </c>
    </row>
    <row r="7" spans="2:4" ht="15.75" thickBot="1" x14ac:dyDescent="0.3">
      <c r="B7" s="259" t="s">
        <v>29</v>
      </c>
      <c r="C7" s="281">
        <v>0.17499999999999999</v>
      </c>
      <c r="D7" s="285">
        <v>350</v>
      </c>
    </row>
    <row r="8" spans="2:4" ht="15.75" thickBot="1" x14ac:dyDescent="0.3">
      <c r="B8" s="260" t="s">
        <v>35</v>
      </c>
      <c r="C8" s="278">
        <v>1.4999999999999999E-2</v>
      </c>
      <c r="D8" s="284">
        <v>30</v>
      </c>
    </row>
    <row r="9" spans="2:4" ht="15.75" thickBot="1" x14ac:dyDescent="0.3">
      <c r="B9" s="259" t="s">
        <v>37</v>
      </c>
      <c r="C9" s="281">
        <v>8.7999999999999995E-2</v>
      </c>
      <c r="D9" s="285">
        <v>175</v>
      </c>
    </row>
    <row r="10" spans="2:4" ht="15.75" thickBot="1" x14ac:dyDescent="0.3">
      <c r="B10" s="260" t="s">
        <v>40</v>
      </c>
      <c r="C10" s="278">
        <v>0.108</v>
      </c>
      <c r="D10" s="284">
        <v>215</v>
      </c>
    </row>
    <row r="11" spans="2:4" ht="15.75" thickBot="1" x14ac:dyDescent="0.3">
      <c r="B11" s="259" t="s">
        <v>44</v>
      </c>
      <c r="C11" s="282">
        <v>0.1</v>
      </c>
      <c r="D11" s="285">
        <v>200</v>
      </c>
    </row>
    <row r="12" spans="2:4" ht="15.75" thickBot="1" x14ac:dyDescent="0.3">
      <c r="B12" s="260" t="s">
        <v>47</v>
      </c>
      <c r="C12" s="279">
        <v>0.04</v>
      </c>
      <c r="D12" s="284">
        <v>80</v>
      </c>
    </row>
    <row r="13" spans="2:4" ht="15.75" thickBot="1" x14ac:dyDescent="0.3">
      <c r="B13" s="259" t="s">
        <v>49</v>
      </c>
      <c r="C13" s="282">
        <v>0.03</v>
      </c>
      <c r="D13" s="285">
        <v>60</v>
      </c>
    </row>
    <row r="14" spans="2:4" ht="15.75" thickBot="1" x14ac:dyDescent="0.3">
      <c r="B14" s="260" t="s">
        <v>50</v>
      </c>
      <c r="C14" s="279">
        <v>0.08</v>
      </c>
      <c r="D14" s="284">
        <v>165</v>
      </c>
    </row>
    <row r="15" spans="2:4" ht="15.75" thickBot="1" x14ac:dyDescent="0.3">
      <c r="B15" s="259" t="s">
        <v>445</v>
      </c>
      <c r="C15" s="281">
        <v>3.5000000000000003E-2</v>
      </c>
      <c r="D15" s="285">
        <v>70</v>
      </c>
    </row>
    <row r="16" spans="2:4" ht="15.75" thickBot="1" x14ac:dyDescent="0.3">
      <c r="B16" s="260" t="s">
        <v>54</v>
      </c>
      <c r="C16" s="279">
        <v>0.09</v>
      </c>
      <c r="D16" s="284">
        <v>180</v>
      </c>
    </row>
    <row r="17" spans="2:4" ht="15.75" thickBot="1" x14ac:dyDescent="0.3">
      <c r="B17" s="261" t="s">
        <v>446</v>
      </c>
      <c r="C17" s="262">
        <f>SUM(C5:C16)</f>
        <v>0.997</v>
      </c>
      <c r="D17" s="261">
        <f>SUM(D5:D16)</f>
        <v>2000</v>
      </c>
    </row>
    <row r="20" spans="2:4" ht="18.75" x14ac:dyDescent="0.3">
      <c r="B20" s="263" t="s">
        <v>447</v>
      </c>
      <c r="C20" s="263"/>
      <c r="D20" s="263"/>
    </row>
    <row r="21" spans="2:4" ht="15.75" thickBot="1" x14ac:dyDescent="0.3"/>
    <row r="22" spans="2:4" ht="15.75" thickBot="1" x14ac:dyDescent="0.3">
      <c r="B22" s="264" t="s">
        <v>448</v>
      </c>
      <c r="C22" s="265" t="s">
        <v>449</v>
      </c>
      <c r="D22" s="266" t="s">
        <v>450</v>
      </c>
    </row>
    <row r="23" spans="2:4" ht="15.75" thickBot="1" x14ac:dyDescent="0.3">
      <c r="B23" s="267">
        <v>1</v>
      </c>
      <c r="C23" s="268" t="s">
        <v>451</v>
      </c>
      <c r="D23" s="268" t="s">
        <v>452</v>
      </c>
    </row>
    <row r="24" spans="2:4" ht="15.75" thickBot="1" x14ac:dyDescent="0.3">
      <c r="B24" s="269">
        <v>2</v>
      </c>
      <c r="C24" s="270" t="s">
        <v>453</v>
      </c>
      <c r="D24" s="270" t="s">
        <v>454</v>
      </c>
    </row>
    <row r="25" spans="2:4" ht="15.75" thickBot="1" x14ac:dyDescent="0.3">
      <c r="B25" s="267">
        <v>3</v>
      </c>
      <c r="C25" s="268" t="s">
        <v>455</v>
      </c>
      <c r="D25" s="268" t="s">
        <v>456</v>
      </c>
    </row>
    <row r="26" spans="2:4" ht="15.75" thickBot="1" x14ac:dyDescent="0.3">
      <c r="B26" s="269">
        <v>4</v>
      </c>
      <c r="C26" s="270" t="s">
        <v>457</v>
      </c>
      <c r="D26" s="270" t="s">
        <v>458</v>
      </c>
    </row>
    <row r="27" spans="2:4" ht="15.75" thickBot="1" x14ac:dyDescent="0.3">
      <c r="B27" s="267">
        <v>5</v>
      </c>
      <c r="C27" s="268" t="s">
        <v>459</v>
      </c>
      <c r="D27" s="268" t="s">
        <v>460</v>
      </c>
    </row>
    <row r="30" spans="2:4" ht="18.75" x14ac:dyDescent="0.3">
      <c r="B30" s="263" t="s">
        <v>461</v>
      </c>
      <c r="C30" s="263"/>
      <c r="D30" s="263"/>
    </row>
    <row r="32" spans="2:4" ht="15.75" x14ac:dyDescent="0.25">
      <c r="B32" s="271" t="s">
        <v>462</v>
      </c>
      <c r="C32" s="271"/>
      <c r="D32" s="271"/>
    </row>
    <row r="33" spans="2:4" x14ac:dyDescent="0.25">
      <c r="B33" s="272"/>
    </row>
    <row r="34" spans="2:4" ht="52.5" customHeight="1" x14ac:dyDescent="0.25">
      <c r="B34" s="273" t="s">
        <v>463</v>
      </c>
      <c r="C34" s="273"/>
      <c r="D34" s="273"/>
    </row>
    <row r="35" spans="2:4" x14ac:dyDescent="0.25">
      <c r="B35" s="272"/>
    </row>
    <row r="36" spans="2:4" ht="54.75" customHeight="1" x14ac:dyDescent="0.25">
      <c r="B36" s="273" t="s">
        <v>464</v>
      </c>
      <c r="C36" s="273"/>
      <c r="D36" s="273"/>
    </row>
    <row r="37" spans="2:4" x14ac:dyDescent="0.25">
      <c r="B37" s="274"/>
      <c r="C37" s="275"/>
      <c r="D37" s="275"/>
    </row>
    <row r="38" spans="2:4" ht="51" customHeight="1" x14ac:dyDescent="0.25">
      <c r="B38" s="273" t="s">
        <v>465</v>
      </c>
      <c r="C38" s="273"/>
      <c r="D38" s="273"/>
    </row>
    <row r="39" spans="2:4" x14ac:dyDescent="0.25">
      <c r="B39" s="274"/>
      <c r="C39" s="275"/>
      <c r="D39" s="275"/>
    </row>
    <row r="40" spans="2:4" ht="54.75" customHeight="1" x14ac:dyDescent="0.25">
      <c r="B40" s="273" t="s">
        <v>466</v>
      </c>
      <c r="C40" s="273"/>
      <c r="D40" s="273"/>
    </row>
    <row r="41" spans="2:4" x14ac:dyDescent="0.25">
      <c r="B41" s="274"/>
      <c r="C41" s="275"/>
      <c r="D41" s="275"/>
    </row>
    <row r="42" spans="2:4" ht="51" customHeight="1" x14ac:dyDescent="0.25">
      <c r="B42" s="273" t="s">
        <v>467</v>
      </c>
      <c r="C42" s="273"/>
      <c r="D42" s="273"/>
    </row>
    <row r="43" spans="2:4" x14ac:dyDescent="0.25">
      <c r="B43" s="274"/>
      <c r="C43" s="274"/>
      <c r="D43" s="274"/>
    </row>
    <row r="44" spans="2:4" ht="15.75" x14ac:dyDescent="0.25">
      <c r="B44" s="276"/>
      <c r="C44" s="277"/>
      <c r="D44" s="277"/>
    </row>
  </sheetData>
  <mergeCells count="9">
    <mergeCell ref="B38:D38"/>
    <mergeCell ref="B40:D40"/>
    <mergeCell ref="B42:D42"/>
    <mergeCell ref="B2:D2"/>
    <mergeCell ref="B20:D20"/>
    <mergeCell ref="B30:D30"/>
    <mergeCell ref="B32:D32"/>
    <mergeCell ref="B34:D34"/>
    <mergeCell ref="B36:D3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zoomScale="70" zoomScaleNormal="70" zoomScalePageLayoutView="70" workbookViewId="0">
      <pane ySplit="2" topLeftCell="A3" activePane="bottomLeft" state="frozen"/>
      <selection pane="bottomLeft" activeCell="F5" sqref="F5"/>
    </sheetView>
  </sheetViews>
  <sheetFormatPr baseColWidth="10" defaultRowHeight="15.75" x14ac:dyDescent="0.25"/>
  <cols>
    <col min="1" max="1" width="5.85546875" style="34" customWidth="1"/>
    <col min="2" max="2" width="114.140625" style="34" customWidth="1"/>
    <col min="3" max="3" width="8.7109375" style="34" customWidth="1"/>
    <col min="4" max="11" width="10.85546875" style="21"/>
  </cols>
  <sheetData>
    <row r="1" spans="1:11" ht="77.25" customHeight="1" x14ac:dyDescent="0.25">
      <c r="A1" s="233" t="s">
        <v>267</v>
      </c>
      <c r="B1" s="234"/>
      <c r="C1" s="234"/>
    </row>
    <row r="2" spans="1:11" s="23" customFormat="1" ht="26.25" customHeight="1" x14ac:dyDescent="0.25">
      <c r="A2" s="43" t="s">
        <v>1</v>
      </c>
      <c r="B2" s="240" t="s">
        <v>267</v>
      </c>
      <c r="C2" s="241"/>
      <c r="D2" s="22"/>
      <c r="E2" s="22"/>
      <c r="F2" s="22"/>
      <c r="G2" s="22"/>
      <c r="H2" s="22"/>
      <c r="I2" s="22"/>
      <c r="J2" s="22"/>
      <c r="K2" s="22"/>
    </row>
    <row r="3" spans="1:11" s="23" customFormat="1" ht="26.25" customHeight="1" x14ac:dyDescent="0.25">
      <c r="A3" s="243" t="s">
        <v>322</v>
      </c>
      <c r="B3" s="244"/>
      <c r="C3" s="245"/>
      <c r="D3" s="22"/>
      <c r="E3" s="22"/>
      <c r="F3" s="22"/>
      <c r="G3" s="22"/>
      <c r="H3" s="22"/>
      <c r="I3" s="22"/>
      <c r="J3" s="22"/>
      <c r="K3" s="22"/>
    </row>
    <row r="4" spans="1:11" ht="23.25" customHeight="1" x14ac:dyDescent="0.25">
      <c r="A4" s="242" t="s">
        <v>267</v>
      </c>
      <c r="B4" s="242"/>
      <c r="C4" s="48">
        <v>0</v>
      </c>
    </row>
    <row r="5" spans="1:11" ht="47.25" x14ac:dyDescent="0.25">
      <c r="A5" s="24">
        <v>1</v>
      </c>
      <c r="B5" s="41" t="s">
        <v>271</v>
      </c>
      <c r="C5" s="41"/>
    </row>
    <row r="6" spans="1:11" ht="31.5" x14ac:dyDescent="0.25">
      <c r="A6" s="24">
        <v>2</v>
      </c>
      <c r="B6" s="41" t="s">
        <v>272</v>
      </c>
      <c r="C6" s="41"/>
    </row>
    <row r="7" spans="1:11" ht="31.5" x14ac:dyDescent="0.25">
      <c r="A7" s="24">
        <v>3</v>
      </c>
      <c r="B7" s="41" t="s">
        <v>273</v>
      </c>
      <c r="C7" s="41"/>
    </row>
    <row r="8" spans="1:11" ht="31.5" x14ac:dyDescent="0.25">
      <c r="A8" s="24">
        <v>4</v>
      </c>
      <c r="B8" s="41" t="s">
        <v>274</v>
      </c>
      <c r="C8" s="41"/>
    </row>
    <row r="9" spans="1:11" ht="31.5" x14ac:dyDescent="0.25">
      <c r="A9" s="24">
        <v>5</v>
      </c>
      <c r="B9" s="41" t="s">
        <v>275</v>
      </c>
      <c r="C9" s="41"/>
    </row>
    <row r="10" spans="1:11" ht="31.5" x14ac:dyDescent="0.25">
      <c r="A10" s="24">
        <v>6</v>
      </c>
      <c r="B10" s="41" t="s">
        <v>276</v>
      </c>
      <c r="C10" s="41"/>
    </row>
    <row r="11" spans="1:11" ht="63" x14ac:dyDescent="0.25">
      <c r="A11" s="24">
        <v>7</v>
      </c>
      <c r="B11" s="41" t="s">
        <v>277</v>
      </c>
      <c r="C11" s="41"/>
    </row>
    <row r="12" spans="1:11" ht="47.25" x14ac:dyDescent="0.25">
      <c r="A12" s="24">
        <v>8</v>
      </c>
      <c r="B12" s="41" t="s">
        <v>278</v>
      </c>
      <c r="C12" s="41"/>
    </row>
    <row r="13" spans="1:11" ht="63" x14ac:dyDescent="0.25">
      <c r="A13" s="24">
        <v>9</v>
      </c>
      <c r="B13" s="41" t="s">
        <v>279</v>
      </c>
      <c r="C13" s="41"/>
    </row>
    <row r="14" spans="1:11" ht="78.75" x14ac:dyDescent="0.25">
      <c r="A14" s="24">
        <v>10</v>
      </c>
      <c r="B14" s="41" t="s">
        <v>280</v>
      </c>
      <c r="C14" s="41"/>
    </row>
    <row r="15" spans="1:11" s="21" customFormat="1" ht="27" customHeight="1" x14ac:dyDescent="0.25">
      <c r="A15" s="242" t="s">
        <v>268</v>
      </c>
      <c r="B15" s="242"/>
      <c r="C15" s="47">
        <v>0</v>
      </c>
      <c r="D15" s="26"/>
    </row>
    <row r="16" spans="1:11" s="21" customFormat="1" ht="31.5" x14ac:dyDescent="0.25">
      <c r="A16" s="24">
        <v>1</v>
      </c>
      <c r="B16" s="35" t="s">
        <v>281</v>
      </c>
      <c r="C16" s="41"/>
      <c r="D16" s="25"/>
    </row>
    <row r="17" spans="1:4" s="21" customFormat="1" ht="31.5" x14ac:dyDescent="0.25">
      <c r="A17" s="24">
        <v>2</v>
      </c>
      <c r="B17" s="41" t="s">
        <v>269</v>
      </c>
      <c r="C17" s="41"/>
      <c r="D17" s="25"/>
    </row>
    <row r="18" spans="1:4" s="21" customFormat="1" ht="31.5" x14ac:dyDescent="0.25">
      <c r="A18" s="24">
        <v>3</v>
      </c>
      <c r="B18" s="41" t="s">
        <v>282</v>
      </c>
      <c r="C18" s="41"/>
      <c r="D18" s="25"/>
    </row>
    <row r="19" spans="1:4" s="21" customFormat="1" ht="47.25" x14ac:dyDescent="0.25">
      <c r="A19" s="24">
        <v>4</v>
      </c>
      <c r="B19" s="41" t="s">
        <v>283</v>
      </c>
      <c r="C19" s="41"/>
    </row>
    <row r="20" spans="1:4" s="21" customFormat="1" ht="47.25" x14ac:dyDescent="0.25">
      <c r="A20" s="24">
        <v>5</v>
      </c>
      <c r="B20" s="41" t="s">
        <v>284</v>
      </c>
      <c r="C20" s="41"/>
    </row>
    <row r="21" spans="1:4" s="21" customFormat="1" ht="31.5" x14ac:dyDescent="0.25">
      <c r="A21" s="24">
        <v>6</v>
      </c>
      <c r="B21" s="41" t="s">
        <v>285</v>
      </c>
      <c r="C21" s="41"/>
    </row>
    <row r="22" spans="1:4" s="21" customFormat="1" ht="31.5" x14ac:dyDescent="0.25">
      <c r="A22" s="24">
        <v>7</v>
      </c>
      <c r="B22" s="41" t="s">
        <v>286</v>
      </c>
      <c r="C22" s="41"/>
    </row>
    <row r="23" spans="1:4" s="21" customFormat="1" ht="31.5" x14ac:dyDescent="0.25">
      <c r="A23" s="24">
        <v>8</v>
      </c>
      <c r="B23" s="41" t="s">
        <v>287</v>
      </c>
      <c r="C23" s="41"/>
    </row>
    <row r="24" spans="1:4" s="21" customFormat="1" ht="31.5" x14ac:dyDescent="0.25">
      <c r="A24" s="24">
        <v>9</v>
      </c>
      <c r="B24" s="41" t="s">
        <v>288</v>
      </c>
      <c r="C24" s="41"/>
    </row>
    <row r="25" spans="1:4" s="21" customFormat="1" ht="31.5" x14ac:dyDescent="0.25">
      <c r="A25" s="24">
        <v>10</v>
      </c>
      <c r="B25" s="35" t="s">
        <v>289</v>
      </c>
      <c r="C25" s="41"/>
    </row>
    <row r="26" spans="1:4" s="21" customFormat="1" ht="24" customHeight="1" x14ac:dyDescent="0.25">
      <c r="A26" s="242" t="s">
        <v>270</v>
      </c>
      <c r="B26" s="242"/>
      <c r="C26" s="47">
        <v>0</v>
      </c>
    </row>
    <row r="27" spans="1:4" s="21" customFormat="1" ht="47.25" x14ac:dyDescent="0.25">
      <c r="A27" s="24">
        <v>1</v>
      </c>
      <c r="B27" s="41" t="s">
        <v>290</v>
      </c>
      <c r="C27" s="41"/>
    </row>
    <row r="28" spans="1:4" s="21" customFormat="1" ht="47.25" x14ac:dyDescent="0.25">
      <c r="A28" s="24">
        <v>2</v>
      </c>
      <c r="B28" s="41" t="s">
        <v>291</v>
      </c>
      <c r="C28" s="41"/>
    </row>
    <row r="29" spans="1:4" s="21" customFormat="1" ht="31.5" x14ac:dyDescent="0.25">
      <c r="A29" s="24">
        <v>3</v>
      </c>
      <c r="B29" s="35" t="s">
        <v>292</v>
      </c>
      <c r="C29" s="41"/>
    </row>
    <row r="30" spans="1:4" s="21" customFormat="1" ht="30.75" customHeight="1" x14ac:dyDescent="0.25">
      <c r="A30" s="239" t="s">
        <v>73</v>
      </c>
      <c r="B30" s="239"/>
      <c r="C30" s="46">
        <f>SUM(C4:C29)</f>
        <v>0</v>
      </c>
    </row>
    <row r="31" spans="1:4" s="21" customFormat="1" x14ac:dyDescent="0.25">
      <c r="A31" s="34"/>
      <c r="B31" s="34"/>
      <c r="C31" s="28"/>
    </row>
  </sheetData>
  <mergeCells count="7">
    <mergeCell ref="A30:B30"/>
    <mergeCell ref="A1:C1"/>
    <mergeCell ref="B2:C2"/>
    <mergeCell ref="A4:B4"/>
    <mergeCell ref="A15:B15"/>
    <mergeCell ref="A26:B26"/>
    <mergeCell ref="A3:C3"/>
  </mergeCells>
  <printOptions horizontalCentered="1" verticalCentered="1"/>
  <pageMargins left="0.70866141732283472" right="0.70866141732283472" top="0.74803149606299213" bottom="0.74803149606299213" header="0.31496062992125984" footer="0.31496062992125984"/>
  <pageSetup paperSize="9" scale="66" orientation="portrait"/>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zoomScale="90" zoomScaleNormal="90" zoomScalePageLayoutView="90" workbookViewId="0">
      <pane ySplit="2" topLeftCell="A11" activePane="bottomLeft" state="frozen"/>
      <selection pane="bottomLeft" activeCell="B15" sqref="B15"/>
    </sheetView>
  </sheetViews>
  <sheetFormatPr baseColWidth="10" defaultRowHeight="15.75" x14ac:dyDescent="0.25"/>
  <cols>
    <col min="1" max="1" width="6.7109375" style="12" customWidth="1"/>
    <col min="2" max="2" width="114.140625" style="12" customWidth="1"/>
    <col min="3" max="3" width="8.7109375" style="12" customWidth="1"/>
    <col min="4" max="11" width="10.85546875" style="21"/>
  </cols>
  <sheetData>
    <row r="1" spans="1:11" ht="77.25" customHeight="1" x14ac:dyDescent="0.25">
      <c r="A1" s="233" t="s">
        <v>65</v>
      </c>
      <c r="B1" s="234"/>
      <c r="C1" s="234"/>
    </row>
    <row r="2" spans="1:11" s="23" customFormat="1" ht="26.25" customHeight="1" x14ac:dyDescent="0.25">
      <c r="A2" s="43" t="s">
        <v>1</v>
      </c>
      <c r="B2" s="240" t="s">
        <v>61</v>
      </c>
      <c r="C2" s="241"/>
      <c r="D2" s="22"/>
      <c r="E2" s="22"/>
      <c r="F2" s="22"/>
      <c r="G2" s="22"/>
      <c r="H2" s="22"/>
      <c r="I2" s="22"/>
      <c r="J2" s="22"/>
      <c r="K2" s="22"/>
    </row>
    <row r="3" spans="1:11" ht="23.25" customHeight="1" x14ac:dyDescent="0.25">
      <c r="A3" s="246" t="s">
        <v>257</v>
      </c>
      <c r="B3" s="246"/>
      <c r="C3" s="8">
        <v>0</v>
      </c>
    </row>
    <row r="4" spans="1:11" ht="31.5" x14ac:dyDescent="0.25">
      <c r="A4" s="24">
        <v>1</v>
      </c>
      <c r="B4" s="35" t="s">
        <v>258</v>
      </c>
      <c r="C4" s="27"/>
    </row>
    <row r="5" spans="1:11" ht="47.25" x14ac:dyDescent="0.25">
      <c r="A5" s="24">
        <v>2</v>
      </c>
      <c r="B5" s="35" t="s">
        <v>90</v>
      </c>
      <c r="C5" s="27"/>
    </row>
    <row r="6" spans="1:11" ht="47.25" x14ac:dyDescent="0.25">
      <c r="A6" s="24">
        <v>3</v>
      </c>
      <c r="B6" s="33" t="s">
        <v>259</v>
      </c>
      <c r="C6" s="27"/>
    </row>
    <row r="7" spans="1:11" ht="50.25" customHeight="1" x14ac:dyDescent="0.25">
      <c r="A7" s="24">
        <v>4</v>
      </c>
      <c r="B7" s="33" t="s">
        <v>260</v>
      </c>
      <c r="C7" s="27"/>
    </row>
    <row r="8" spans="1:11" ht="47.25" x14ac:dyDescent="0.25">
      <c r="A8" s="24">
        <v>5</v>
      </c>
      <c r="B8" s="33" t="s">
        <v>91</v>
      </c>
      <c r="C8" s="27"/>
    </row>
    <row r="9" spans="1:11" ht="34.5" customHeight="1" x14ac:dyDescent="0.25">
      <c r="A9" s="24">
        <v>6</v>
      </c>
      <c r="B9" s="33" t="s">
        <v>261</v>
      </c>
      <c r="C9" s="27"/>
    </row>
    <row r="10" spans="1:11" ht="27" customHeight="1" x14ac:dyDescent="0.25">
      <c r="A10" s="242" t="s">
        <v>262</v>
      </c>
      <c r="B10" s="242"/>
      <c r="C10" s="47">
        <v>0</v>
      </c>
      <c r="D10" s="26"/>
    </row>
    <row r="11" spans="1:11" x14ac:dyDescent="0.25">
      <c r="A11" s="24">
        <v>1</v>
      </c>
      <c r="B11" s="39" t="s">
        <v>62</v>
      </c>
      <c r="C11" s="27"/>
      <c r="D11" s="25"/>
    </row>
    <row r="12" spans="1:11" x14ac:dyDescent="0.25">
      <c r="A12" s="24">
        <v>2</v>
      </c>
      <c r="B12" s="24" t="s">
        <v>63</v>
      </c>
      <c r="C12" s="27"/>
      <c r="D12" s="25"/>
    </row>
    <row r="13" spans="1:11" ht="38.25" customHeight="1" x14ac:dyDescent="0.25">
      <c r="A13" s="24">
        <v>4</v>
      </c>
      <c r="B13" s="39" t="s">
        <v>263</v>
      </c>
      <c r="C13" s="27"/>
    </row>
    <row r="14" spans="1:11" ht="34.5" customHeight="1" x14ac:dyDescent="0.25">
      <c r="A14" s="24">
        <v>5</v>
      </c>
      <c r="B14" s="40" t="s">
        <v>264</v>
      </c>
      <c r="C14" s="27"/>
    </row>
    <row r="15" spans="1:11" x14ac:dyDescent="0.25">
      <c r="A15" s="24">
        <v>6</v>
      </c>
      <c r="B15" s="24" t="s">
        <v>64</v>
      </c>
      <c r="C15" s="27"/>
    </row>
    <row r="16" spans="1:11" x14ac:dyDescent="0.25">
      <c r="A16" s="24">
        <v>7</v>
      </c>
      <c r="B16" s="28" t="s">
        <v>265</v>
      </c>
      <c r="C16" s="27"/>
    </row>
    <row r="17" spans="1:3" ht="30.75" customHeight="1" x14ac:dyDescent="0.25">
      <c r="A17" s="239" t="s">
        <v>73</v>
      </c>
      <c r="B17" s="239"/>
      <c r="C17" s="46">
        <f>SUM(C3:C16)</f>
        <v>0</v>
      </c>
    </row>
    <row r="18" spans="1:3" x14ac:dyDescent="0.25">
      <c r="C18" s="28"/>
    </row>
  </sheetData>
  <mergeCells count="5">
    <mergeCell ref="A1:C1"/>
    <mergeCell ref="A17:B17"/>
    <mergeCell ref="B2:C2"/>
    <mergeCell ref="A10:B10"/>
    <mergeCell ref="A3:B3"/>
  </mergeCells>
  <printOptions horizontalCentered="1" verticalCentered="1"/>
  <pageMargins left="0.70866141732283472" right="0.70866141732283472" top="0.74803149606299213" bottom="0.74803149606299213" header="0.31496062992125984" footer="0.31496062992125984"/>
  <pageSetup paperSize="9" scale="66" orientation="portrait"/>
  <drawing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zoomScale="70" zoomScaleNormal="70" zoomScalePageLayoutView="70" workbookViewId="0">
      <pane ySplit="2" topLeftCell="A3" activePane="bottomLeft" state="frozen"/>
      <selection pane="bottomLeft" activeCell="A4" sqref="A4:C4"/>
    </sheetView>
  </sheetViews>
  <sheetFormatPr baseColWidth="10" defaultRowHeight="15.75" x14ac:dyDescent="0.25"/>
  <cols>
    <col min="1" max="1" width="4.7109375" style="12" customWidth="1"/>
    <col min="2" max="2" width="114.140625" style="12" customWidth="1"/>
    <col min="3" max="3" width="8.7109375" style="12" customWidth="1"/>
    <col min="4" max="11" width="10.85546875" style="21"/>
  </cols>
  <sheetData>
    <row r="1" spans="1:11" ht="77.25" customHeight="1" x14ac:dyDescent="0.25">
      <c r="A1" s="233" t="s">
        <v>85</v>
      </c>
      <c r="B1" s="234"/>
      <c r="C1" s="234"/>
    </row>
    <row r="2" spans="1:11" s="23" customFormat="1" ht="30" customHeight="1" x14ac:dyDescent="0.25">
      <c r="A2" s="240" t="s">
        <v>86</v>
      </c>
      <c r="B2" s="250"/>
      <c r="C2" s="241"/>
      <c r="D2" s="22"/>
      <c r="E2" s="22"/>
      <c r="F2" s="22"/>
      <c r="G2" s="22"/>
      <c r="H2" s="22"/>
      <c r="I2" s="22"/>
      <c r="J2" s="22"/>
      <c r="K2" s="22"/>
    </row>
    <row r="3" spans="1:11" ht="258" customHeight="1" x14ac:dyDescent="0.25">
      <c r="A3" s="247"/>
      <c r="B3" s="248"/>
      <c r="C3" s="249"/>
    </row>
    <row r="4" spans="1:11" ht="30" customHeight="1" x14ac:dyDescent="0.25">
      <c r="A4" s="240" t="s">
        <v>266</v>
      </c>
      <c r="B4" s="250"/>
      <c r="C4" s="241"/>
    </row>
    <row r="5" spans="1:11" ht="258" customHeight="1" x14ac:dyDescent="0.25">
      <c r="A5" s="247"/>
      <c r="B5" s="248"/>
      <c r="C5" s="249"/>
      <c r="G5"/>
      <c r="H5"/>
      <c r="I5"/>
      <c r="J5"/>
      <c r="K5"/>
    </row>
    <row r="6" spans="1:11" x14ac:dyDescent="0.25">
      <c r="A6" s="21"/>
      <c r="B6" s="21"/>
      <c r="C6" s="21"/>
      <c r="G6"/>
      <c r="H6"/>
      <c r="I6"/>
      <c r="J6"/>
      <c r="K6"/>
    </row>
    <row r="7" spans="1:11" x14ac:dyDescent="0.25">
      <c r="A7" s="21"/>
      <c r="B7" s="21"/>
      <c r="C7" s="21"/>
      <c r="G7"/>
      <c r="H7"/>
      <c r="I7"/>
      <c r="J7"/>
      <c r="K7"/>
    </row>
    <row r="8" spans="1:11" x14ac:dyDescent="0.25">
      <c r="A8" s="21"/>
      <c r="B8" s="21"/>
      <c r="C8" s="21"/>
      <c r="G8"/>
      <c r="H8"/>
      <c r="I8"/>
      <c r="J8"/>
      <c r="K8"/>
    </row>
    <row r="9" spans="1:11" x14ac:dyDescent="0.25">
      <c r="A9" s="21"/>
      <c r="B9" s="21"/>
      <c r="C9" s="21"/>
      <c r="G9"/>
      <c r="H9"/>
      <c r="I9"/>
      <c r="J9"/>
      <c r="K9"/>
    </row>
    <row r="10" spans="1:11" x14ac:dyDescent="0.25">
      <c r="A10" s="21"/>
      <c r="B10" s="21"/>
      <c r="C10" s="21"/>
      <c r="G10"/>
      <c r="H10"/>
      <c r="I10"/>
      <c r="J10"/>
      <c r="K10"/>
    </row>
    <row r="11" spans="1:11" x14ac:dyDescent="0.25">
      <c r="C11" s="28"/>
    </row>
  </sheetData>
  <mergeCells count="5">
    <mergeCell ref="A3:C3"/>
    <mergeCell ref="A1:C1"/>
    <mergeCell ref="A2:C2"/>
    <mergeCell ref="A5:C5"/>
    <mergeCell ref="A4:C4"/>
  </mergeCells>
  <printOptions horizontalCentered="1" verticalCentered="1"/>
  <pageMargins left="0.70866141732283472" right="0.70866141732283472" top="0.74803149606299213" bottom="0.74803149606299213" header="0.31496062992125984" footer="0.31496062992125984"/>
  <pageSetup paperSize="9" scale="66" orientation="portrait"/>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7</vt:i4>
      </vt:variant>
    </vt:vector>
  </HeadingPairs>
  <TitlesOfParts>
    <vt:vector size="16" baseType="lpstr">
      <vt:lpstr>Instrucciones</vt:lpstr>
      <vt:lpstr>Solicitud de Adhesión</vt:lpstr>
      <vt:lpstr>Evaluacion</vt:lpstr>
      <vt:lpstr>Calificacion</vt:lpstr>
      <vt:lpstr>Segunda condicionante</vt:lpstr>
      <vt:lpstr>Tabla de puntuación</vt:lpstr>
      <vt:lpstr>Marco Legal y Normativo</vt:lpstr>
      <vt:lpstr>Referentes</vt:lpstr>
      <vt:lpstr>Comentarios</vt:lpstr>
      <vt:lpstr>Calificacion!Área_de_impresión</vt:lpstr>
      <vt:lpstr>Comentarios!Área_de_impresión</vt:lpstr>
      <vt:lpstr>Evaluacion!Área_de_impresión</vt:lpstr>
      <vt:lpstr>Instrucciones!Área_de_impresión</vt:lpstr>
      <vt:lpstr>'Marco Legal y Normativo'!Área_de_impresión</vt:lpstr>
      <vt:lpstr>Referentes!Área_de_impresión</vt:lpstr>
      <vt:lpstr>'Solicitud de Adhesión'!Área_de_impresión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Guillermo Becerra García</dc:creator>
  <cp:lastModifiedBy>María Magdalena Rabanal Romero</cp:lastModifiedBy>
  <cp:lastPrinted>2015-01-12T17:56:28Z</cp:lastPrinted>
  <dcterms:created xsi:type="dcterms:W3CDTF">2014-10-13T14:49:42Z</dcterms:created>
  <dcterms:modified xsi:type="dcterms:W3CDTF">2016-10-10T18:40:31Z</dcterms:modified>
</cp:coreProperties>
</file>